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omments3.xml" ContentType="application/vnd.openxmlformats-officedocument.spreadsheetml.comments+xml"/>
  <Override PartName="/xl/charts/chart7.xml" ContentType="application/vnd.openxmlformats-officedocument.drawingml.chart+xml"/>
  <Override PartName="/xl/drawings/drawing5.xml" ContentType="application/vnd.openxmlformats-officedocument.drawing+xml"/>
  <Override PartName="/xl/comments4.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omments5.xml" ContentType="application/vnd.openxmlformats-officedocument.spreadsheetml.comments+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harts/chart13.xml" ContentType="application/vnd.openxmlformats-officedocument.drawingml.chart+xml"/>
  <Override PartName="/xl/drawings/drawing9.xml" ContentType="application/vnd.openxmlformats-officedocument.drawing+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5.xml" ContentType="application/vnd.openxmlformats-officedocument.drawingml.chart+xml"/>
  <Override PartName="/xl/charts/style11.xml" ContentType="application/vnd.ms-office.chartstyle+xml"/>
  <Override PartName="/xl/charts/colors11.xml" ContentType="application/vnd.ms-office.chartcolorstyle+xml"/>
  <Override PartName="/xl/charts/chart16.xml" ContentType="application/vnd.openxmlformats-officedocument.drawingml.chart+xml"/>
  <Override PartName="/xl/charts/style12.xml" ContentType="application/vnd.ms-office.chartstyle+xml"/>
  <Override PartName="/xl/charts/colors12.xml" ContentType="application/vnd.ms-office.chartcolorstyle+xml"/>
  <Override PartName="/xl/charts/chart17.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codeName="ThisWorkbook" defaultThemeVersion="124226"/>
  <mc:AlternateContent xmlns:mc="http://schemas.openxmlformats.org/markup-compatibility/2006">
    <mc:Choice Requires="x15">
      <x15ac:absPath xmlns:x15ac="http://schemas.microsoft.com/office/spreadsheetml/2010/11/ac" url="C:\1 GRACZKOWSKI DOTACJE Sp. z o.o. 2019\ROK 2021\3 DOKUMENTY STRATEGICZNE\1 PGN\14 PGN OKSA\"/>
    </mc:Choice>
  </mc:AlternateContent>
  <xr:revisionPtr revIDLastSave="0" documentId="13_ncr:1_{8F4D5840-A2AC-49F7-8C33-33220C0C985C}" xr6:coauthVersionLast="46" xr6:coauthVersionMax="46" xr10:uidLastSave="{00000000-0000-0000-0000-000000000000}"/>
  <bookViews>
    <workbookView xWindow="-108" yWindow="-108" windowWidth="23256" windowHeight="12576" tabRatio="889" firstSheet="15" activeTab="20" xr2:uid="{00000000-000D-0000-FFFF-FFFF00000000}"/>
  </bookViews>
  <sheets>
    <sheet name="emisja" sheetId="5" state="hidden" r:id="rId1"/>
    <sheet name="Z" sheetId="28" state="hidden" r:id="rId2"/>
    <sheet name="Założenia,wskaźniki, listy" sheetId="8" r:id="rId3"/>
    <sheet name="Budynki komunalne - baza " sheetId="22" r:id="rId4"/>
    <sheet name="Budynki komunalne - emisja" sheetId="13" r:id="rId5"/>
    <sheet name="Mieszk. wielorodz. - baza" sheetId="34" state="hidden" r:id="rId6"/>
    <sheet name="Mieszk. wielorodz. - emisja" sheetId="35" state="hidden" r:id="rId7"/>
    <sheet name="Oświetlenie uliczne" sheetId="20" r:id="rId8"/>
    <sheet name="Mieszkalne - baza" sheetId="7" r:id="rId9"/>
    <sheet name="Mieszkalne - emisja" sheetId="10" r:id="rId10"/>
    <sheet name="Przedsiębiorcy, przemysł" sheetId="27" state="hidden" r:id="rId11"/>
    <sheet name="Przemy" sheetId="24" state="hidden" r:id="rId12"/>
    <sheet name="Budynki usł.-użytk. - emisja" sheetId="23" r:id="rId13"/>
    <sheet name="Przemysł, pozostałe - emisja" sheetId="31" state="hidden" r:id="rId14"/>
    <sheet name="Arkusz2" sheetId="29" state="hidden" r:id="rId15"/>
    <sheet name="Transport - emisja" sheetId="25" r:id="rId16"/>
    <sheet name="Energia łącznie" sheetId="15" r:id="rId17"/>
    <sheet name="Struktura paliw łącznie" sheetId="17" r:id="rId18"/>
    <sheet name="Łączna emisja" sheetId="18" r:id="rId19"/>
    <sheet name="Efekt ekologiczny 2020" sheetId="36" r:id="rId20"/>
    <sheet name="Efekt ekologiczny 2023" sheetId="39" r:id="rId21"/>
    <sheet name="DZIAŁANIA 2021-2023" sheetId="40" r:id="rId22"/>
    <sheet name="Prezentacja wyników - MWh" sheetId="37" r:id="rId23"/>
    <sheet name="Prezentacja wyników - CO2" sheetId="38" r:id="rId24"/>
    <sheet name="Arkusz1" sheetId="26" state="hidden" r:id="rId25"/>
  </sheets>
  <externalReferences>
    <externalReference r:id="rId26"/>
    <externalReference r:id="rId27"/>
    <externalReference r:id="rId28"/>
    <externalReference r:id="rId29"/>
    <externalReference r:id="rId30"/>
  </externalReferences>
  <definedNames>
    <definedName name="_xlnm.Print_Area" localSheetId="3">'Budynki komunalne - baza '!$A$1:$BH$47</definedName>
    <definedName name="_xlnm.Print_Area" localSheetId="12">'Budynki usł.-użytk. - emisja'!$K$1:$AI$33</definedName>
    <definedName name="_xlnm.Print_Area" localSheetId="19">'Efekt ekologiczny 2020'!$A$1:$P$37</definedName>
    <definedName name="_xlnm.Print_Area" localSheetId="16">'Energia łącznie'!$A$1:$J$38</definedName>
    <definedName name="_xlnm.Print_Area" localSheetId="18">'Łączna emisja'!$A$1:$Q$29</definedName>
    <definedName name="_xlnm.Print_Area" localSheetId="5">'Mieszk. wielorodz. - baza'!$A$1:$BJ$32</definedName>
    <definedName name="_xlnm.Print_Area" localSheetId="6">'Mieszk. wielorodz. - emisja'!$A$1:$AN$33</definedName>
    <definedName name="_xlnm.Print_Area" localSheetId="8">'Mieszkalne - baza'!$A$1:$AU$250</definedName>
    <definedName name="_xlnm.Print_Area" localSheetId="9">'Mieszkalne - emisja'!$A$1:$AI$33</definedName>
    <definedName name="_xlnm.Print_Area" localSheetId="7">'Oświetlenie uliczne'!$A$1:$D$4</definedName>
    <definedName name="_xlnm.Print_Area" localSheetId="23">'Prezentacja wyników - CO2'!$A$1:$T$27</definedName>
    <definedName name="_xlnm.Print_Area" localSheetId="22">'Prezentacja wyników - MWh'!$A$1:$S$22</definedName>
    <definedName name="_xlnm.Print_Area" localSheetId="11">Przemy!$K$1:$AI$33</definedName>
    <definedName name="_xlnm.Print_Area" localSheetId="13">'Przemysł, pozostałe - emisja'!$A$1:$AX$82</definedName>
    <definedName name="_xlnm.Print_Area" localSheetId="17">'Struktura paliw łącznie'!$A$1:$V$29</definedName>
    <definedName name="_xlnm.Print_Area" localSheetId="15">'Transport - emisja'!$A$1:$T$68</definedName>
    <definedName name="_xlnm.Print_Area" localSheetId="2">'Założenia,wskaźniki, listy'!$A$1:$W$70</definedName>
    <definedName name="pompa_ciepła___wiatr" localSheetId="5">#REF!</definedName>
    <definedName name="pompa_ciepła___wiatr" localSheetId="6">#REF!</definedName>
    <definedName name="pompa_ciepła___wiatr" localSheetId="11">#REF!</definedName>
    <definedName name="pompa_ciepła___wiatr">#REF!</definedName>
  </definedNames>
  <calcPr calcId="181029"/>
</workbook>
</file>

<file path=xl/calcChain.xml><?xml version="1.0" encoding="utf-8"?>
<calcChain xmlns="http://schemas.openxmlformats.org/spreadsheetml/2006/main">
  <c r="F10" i="39" l="1"/>
  <c r="G10" i="39"/>
  <c r="H10" i="39"/>
  <c r="I10" i="39"/>
  <c r="J10" i="39"/>
  <c r="K10" i="39"/>
  <c r="L10" i="39"/>
  <c r="M10" i="39"/>
  <c r="N10" i="39"/>
  <c r="O10" i="39"/>
  <c r="E10" i="39"/>
  <c r="K9" i="39" l="1"/>
  <c r="J11" i="39"/>
  <c r="L9" i="39"/>
  <c r="J9" i="39"/>
  <c r="I9" i="39"/>
  <c r="I11" i="39" s="1"/>
  <c r="M9" i="39"/>
  <c r="N9" i="39"/>
  <c r="O9" i="39"/>
  <c r="H11" i="39"/>
  <c r="G11" i="39"/>
  <c r="F11" i="39"/>
  <c r="E11" i="39"/>
  <c r="G9" i="39"/>
  <c r="E9" i="39"/>
  <c r="F8" i="39"/>
  <c r="F9" i="39" s="1"/>
  <c r="H9" i="39"/>
  <c r="E8" i="39"/>
  <c r="L6" i="40"/>
  <c r="H49" i="40"/>
  <c r="J44" i="40"/>
  <c r="J49" i="40" s="1"/>
  <c r="I44" i="40"/>
  <c r="K44" i="40" s="1"/>
  <c r="K49" i="40" s="1"/>
  <c r="K11" i="40"/>
  <c r="J11" i="40"/>
  <c r="I11" i="40"/>
  <c r="N6" i="40"/>
  <c r="N11" i="40" s="1"/>
  <c r="M6" i="40"/>
  <c r="M11" i="40" s="1"/>
  <c r="L11" i="40"/>
  <c r="I49" i="40" l="1"/>
  <c r="G30" i="36" l="1"/>
  <c r="F30" i="36"/>
  <c r="F7" i="39"/>
  <c r="G7" i="39"/>
  <c r="H7" i="39"/>
  <c r="G8" i="39"/>
  <c r="H8" i="39"/>
  <c r="E7" i="39"/>
  <c r="J7" i="39"/>
  <c r="K7" i="39"/>
  <c r="L7" i="39"/>
  <c r="M7" i="39"/>
  <c r="N7" i="39"/>
  <c r="O7" i="39"/>
  <c r="O11" i="39" s="1"/>
  <c r="J8" i="39"/>
  <c r="K8" i="39"/>
  <c r="L8" i="39"/>
  <c r="M8" i="39"/>
  <c r="N8" i="39"/>
  <c r="O8" i="39"/>
  <c r="I8" i="39"/>
  <c r="I7" i="39"/>
  <c r="N11" i="39"/>
  <c r="G29" i="36"/>
  <c r="G28" i="36"/>
  <c r="G27" i="36"/>
  <c r="F27" i="36"/>
  <c r="E30" i="36"/>
  <c r="E29" i="36"/>
  <c r="J30" i="36"/>
  <c r="K11" i="39" l="1"/>
  <c r="M11" i="39"/>
  <c r="L11" i="39"/>
  <c r="E14" i="36"/>
  <c r="E15" i="36"/>
  <c r="E16" i="36"/>
  <c r="E17" i="36"/>
  <c r="E18" i="36"/>
  <c r="E19" i="36"/>
  <c r="E20" i="36"/>
  <c r="E21" i="36"/>
  <c r="E22" i="36" s="1"/>
  <c r="E13" i="36"/>
  <c r="E5" i="36"/>
  <c r="E7" i="36" s="1"/>
  <c r="G14" i="36"/>
  <c r="G15" i="36"/>
  <c r="G16" i="36"/>
  <c r="G17" i="36"/>
  <c r="G22" i="36" s="1"/>
  <c r="G23" i="36" s="1"/>
  <c r="G18" i="36"/>
  <c r="G19" i="36"/>
  <c r="G20" i="36"/>
  <c r="G21" i="36"/>
  <c r="G13" i="36"/>
  <c r="G11" i="36"/>
  <c r="G7" i="36"/>
  <c r="G6" i="36"/>
  <c r="G5" i="36"/>
  <c r="E23" i="36" l="1"/>
  <c r="H7" i="36"/>
  <c r="I7" i="36"/>
  <c r="J7" i="36"/>
  <c r="K7" i="36"/>
  <c r="L7" i="36"/>
  <c r="M7" i="36"/>
  <c r="N7" i="36"/>
  <c r="F7" i="36"/>
  <c r="D7" i="36"/>
  <c r="AI12" i="23" l="1"/>
  <c r="C27" i="38" l="1"/>
  <c r="D23" i="34" l="1"/>
  <c r="AP30" i="22" l="1"/>
  <c r="AP5" i="22"/>
  <c r="A4" i="20"/>
  <c r="T5" i="22"/>
  <c r="P10" i="23" l="1"/>
  <c r="P11" i="23"/>
  <c r="AH6" i="23"/>
  <c r="P7" i="23" s="1"/>
  <c r="AH7" i="23"/>
  <c r="P8" i="23" s="1"/>
  <c r="AH8" i="23"/>
  <c r="P9" i="23" s="1"/>
  <c r="AH5" i="23"/>
  <c r="P6" i="23" s="1"/>
  <c r="G205" i="7" l="1"/>
  <c r="D209" i="7" s="1"/>
  <c r="J193" i="7"/>
  <c r="J191" i="7"/>
  <c r="J112" i="7" l="1"/>
  <c r="J111" i="7"/>
  <c r="J78" i="7"/>
  <c r="J77" i="7"/>
  <c r="J72" i="7"/>
  <c r="J71" i="7"/>
  <c r="S205" i="7" l="1"/>
  <c r="S206" i="7" s="1"/>
  <c r="Q6" i="10" s="1"/>
  <c r="D473" i="7"/>
  <c r="C271" i="7" s="1"/>
  <c r="C465" i="7" l="1"/>
  <c r="C453" i="7"/>
  <c r="C449" i="7"/>
  <c r="C445" i="7"/>
  <c r="C441" i="7"/>
  <c r="C437" i="7"/>
  <c r="C433" i="7"/>
  <c r="C429" i="7"/>
  <c r="C425" i="7"/>
  <c r="C421" i="7"/>
  <c r="C417" i="7"/>
  <c r="C413" i="7"/>
  <c r="C409" i="7"/>
  <c r="C405" i="7"/>
  <c r="C401" i="7"/>
  <c r="C397" i="7"/>
  <c r="C393" i="7"/>
  <c r="C389" i="7"/>
  <c r="C385" i="7"/>
  <c r="C381" i="7"/>
  <c r="C377" i="7"/>
  <c r="C373" i="7"/>
  <c r="C369" i="7"/>
  <c r="C365" i="7"/>
  <c r="C361" i="7"/>
  <c r="C357" i="7"/>
  <c r="C353" i="7"/>
  <c r="C349" i="7"/>
  <c r="C345" i="7"/>
  <c r="C341" i="7"/>
  <c r="C337" i="7"/>
  <c r="C333" i="7"/>
  <c r="C329" i="7"/>
  <c r="C325" i="7"/>
  <c r="C321" i="7"/>
  <c r="C317" i="7"/>
  <c r="C313" i="7"/>
  <c r="C309" i="7"/>
  <c r="C305" i="7"/>
  <c r="C301" i="7"/>
  <c r="C297" i="7"/>
  <c r="C293" i="7"/>
  <c r="C289" i="7"/>
  <c r="C285" i="7"/>
  <c r="C281" i="7"/>
  <c r="C277" i="7"/>
  <c r="C273" i="7"/>
  <c r="C469" i="7"/>
  <c r="C461" i="7"/>
  <c r="C457" i="7"/>
  <c r="C471" i="7"/>
  <c r="C467" i="7"/>
  <c r="C463" i="7"/>
  <c r="C459" i="7"/>
  <c r="C455" i="7"/>
  <c r="C451" i="7"/>
  <c r="C447" i="7"/>
  <c r="C443" i="7"/>
  <c r="C439" i="7"/>
  <c r="C435" i="7"/>
  <c r="C431" i="7"/>
  <c r="C427" i="7"/>
  <c r="C423" i="7"/>
  <c r="C419" i="7"/>
  <c r="C415" i="7"/>
  <c r="C411" i="7"/>
  <c r="C407" i="7"/>
  <c r="C403" i="7"/>
  <c r="C399" i="7"/>
  <c r="C395" i="7"/>
  <c r="C391" i="7"/>
  <c r="C387" i="7"/>
  <c r="C383" i="7"/>
  <c r="C379" i="7"/>
  <c r="C375" i="7"/>
  <c r="C371" i="7"/>
  <c r="C367" i="7"/>
  <c r="C363" i="7"/>
  <c r="C359" i="7"/>
  <c r="C355" i="7"/>
  <c r="C351" i="7"/>
  <c r="C347" i="7"/>
  <c r="C343" i="7"/>
  <c r="C339" i="7"/>
  <c r="C335" i="7"/>
  <c r="C331" i="7"/>
  <c r="C327" i="7"/>
  <c r="C323" i="7"/>
  <c r="C319" i="7"/>
  <c r="C315" i="7"/>
  <c r="C311" i="7"/>
  <c r="C307" i="7"/>
  <c r="C303" i="7"/>
  <c r="C299" i="7"/>
  <c r="C295" i="7"/>
  <c r="C291" i="7"/>
  <c r="C287" i="7"/>
  <c r="C283" i="7"/>
  <c r="C279" i="7"/>
  <c r="C275" i="7"/>
  <c r="C473" i="7" s="1"/>
  <c r="F6" i="25" l="1"/>
  <c r="F5" i="25"/>
  <c r="CF29" i="22" l="1"/>
  <c r="CE29" i="22"/>
  <c r="CD29" i="22"/>
  <c r="CC29" i="22"/>
  <c r="CB29" i="22"/>
  <c r="CA29" i="22"/>
  <c r="BZ29" i="22"/>
  <c r="BY29" i="22"/>
  <c r="BX29" i="22"/>
  <c r="BW29" i="22"/>
  <c r="BV29" i="22"/>
  <c r="BU29" i="22"/>
  <c r="BT29" i="22"/>
  <c r="BS29" i="22"/>
  <c r="BR29" i="22"/>
  <c r="BQ29" i="22"/>
  <c r="BP29" i="22"/>
  <c r="BO29" i="22"/>
  <c r="BN29" i="22"/>
  <c r="BM29" i="22"/>
  <c r="BL29" i="22"/>
  <c r="BK29" i="22"/>
  <c r="BJ29" i="22"/>
  <c r="AI29" i="22"/>
  <c r="AH29" i="22"/>
  <c r="AG29" i="22"/>
  <c r="AF29" i="22"/>
  <c r="AE29" i="22"/>
  <c r="AD29" i="22"/>
  <c r="AC29" i="22"/>
  <c r="AB29" i="22"/>
  <c r="AA29" i="22"/>
  <c r="Z29" i="22"/>
  <c r="Y29" i="22"/>
  <c r="X29" i="22"/>
  <c r="W29" i="22"/>
  <c r="AT29" i="22" s="1"/>
  <c r="V29" i="22"/>
  <c r="U29" i="22"/>
  <c r="T29" i="22"/>
  <c r="BI29" i="22" s="1"/>
  <c r="R29" i="22"/>
  <c r="J29" i="22"/>
  <c r="C29" i="22"/>
  <c r="AR29" i="22" l="1"/>
  <c r="CF25" i="22"/>
  <c r="CE25" i="22"/>
  <c r="CD25" i="22"/>
  <c r="CC25" i="22"/>
  <c r="CB25" i="22"/>
  <c r="CA25" i="22"/>
  <c r="BZ25" i="22"/>
  <c r="BY25" i="22"/>
  <c r="BX25" i="22"/>
  <c r="BW25" i="22"/>
  <c r="BV25" i="22"/>
  <c r="BU25" i="22"/>
  <c r="BT25" i="22"/>
  <c r="BS25" i="22"/>
  <c r="BR25" i="22"/>
  <c r="BQ25" i="22"/>
  <c r="BP25" i="22"/>
  <c r="BO25" i="22"/>
  <c r="BN25" i="22"/>
  <c r="BM25" i="22"/>
  <c r="BL25" i="22"/>
  <c r="BK25" i="22"/>
  <c r="BJ25" i="22"/>
  <c r="AI25" i="22"/>
  <c r="AH25" i="22"/>
  <c r="AG25" i="22"/>
  <c r="AF25" i="22"/>
  <c r="AE25" i="22"/>
  <c r="AD25" i="22"/>
  <c r="AC25" i="22"/>
  <c r="AB25" i="22"/>
  <c r="AA25" i="22"/>
  <c r="Z25" i="22"/>
  <c r="Y25" i="22"/>
  <c r="X25" i="22"/>
  <c r="W25" i="22"/>
  <c r="AT25" i="22" s="1"/>
  <c r="V25" i="22"/>
  <c r="U25" i="22"/>
  <c r="T25" i="22"/>
  <c r="BI25" i="22" s="1"/>
  <c r="R25" i="22"/>
  <c r="J25" i="22"/>
  <c r="C25" i="22"/>
  <c r="CF17" i="22"/>
  <c r="CE17" i="22"/>
  <c r="CD17" i="22"/>
  <c r="CC17" i="22"/>
  <c r="CB17" i="22"/>
  <c r="CA17" i="22"/>
  <c r="BZ17" i="22"/>
  <c r="BY17" i="22"/>
  <c r="BX17" i="22"/>
  <c r="BV17" i="22"/>
  <c r="BU17" i="22"/>
  <c r="BT17" i="22"/>
  <c r="BS17" i="22"/>
  <c r="BR17" i="22"/>
  <c r="BQ17" i="22"/>
  <c r="BP17" i="22"/>
  <c r="BO17" i="22"/>
  <c r="BN17" i="22"/>
  <c r="BM17" i="22"/>
  <c r="BL17" i="22"/>
  <c r="BK17" i="22"/>
  <c r="BJ17" i="22"/>
  <c r="AI17" i="22"/>
  <c r="T17" i="22"/>
  <c r="BI17" i="22" s="1"/>
  <c r="R17" i="22"/>
  <c r="J17" i="22"/>
  <c r="C17" i="22"/>
  <c r="CF15" i="22"/>
  <c r="CE15" i="22"/>
  <c r="CD15" i="22"/>
  <c r="CC15" i="22"/>
  <c r="CB15" i="22"/>
  <c r="CA15" i="22"/>
  <c r="BZ15" i="22"/>
  <c r="BY15" i="22"/>
  <c r="BX15" i="22"/>
  <c r="BV15" i="22"/>
  <c r="BU15" i="22"/>
  <c r="BT15" i="22"/>
  <c r="BS15" i="22"/>
  <c r="BR15" i="22"/>
  <c r="BQ15" i="22"/>
  <c r="BP15" i="22"/>
  <c r="BO15" i="22"/>
  <c r="BN15" i="22"/>
  <c r="BM15" i="22"/>
  <c r="BL15" i="22"/>
  <c r="BK15" i="22"/>
  <c r="BJ15" i="22"/>
  <c r="AI15" i="22"/>
  <c r="R15" i="22"/>
  <c r="J15" i="22"/>
  <c r="C15" i="22"/>
  <c r="CF12" i="22"/>
  <c r="CE12" i="22"/>
  <c r="CD12" i="22"/>
  <c r="CC12" i="22"/>
  <c r="CB12" i="22"/>
  <c r="CA12" i="22"/>
  <c r="BZ12" i="22"/>
  <c r="BY12" i="22"/>
  <c r="BX12" i="22"/>
  <c r="BW12" i="22"/>
  <c r="BV12" i="22"/>
  <c r="BU12" i="22"/>
  <c r="BT12" i="22"/>
  <c r="BS12" i="22"/>
  <c r="BR12" i="22"/>
  <c r="BQ12" i="22"/>
  <c r="BP12" i="22"/>
  <c r="BO12" i="22"/>
  <c r="BN12" i="22"/>
  <c r="BM12" i="22"/>
  <c r="BL12" i="22"/>
  <c r="BK12" i="22"/>
  <c r="BJ12" i="22"/>
  <c r="AI12" i="22"/>
  <c r="AH12" i="22"/>
  <c r="AG12" i="22"/>
  <c r="AF12" i="22"/>
  <c r="AE12" i="22"/>
  <c r="AD12" i="22"/>
  <c r="AC12" i="22"/>
  <c r="AB12" i="22"/>
  <c r="AA12" i="22"/>
  <c r="Z12" i="22"/>
  <c r="Y12" i="22"/>
  <c r="X12" i="22"/>
  <c r="W12" i="22"/>
  <c r="AT12" i="22" s="1"/>
  <c r="V12" i="22"/>
  <c r="U12" i="22"/>
  <c r="T12" i="22"/>
  <c r="BI12" i="22" s="1"/>
  <c r="R12" i="22"/>
  <c r="J12" i="22"/>
  <c r="C12" i="22"/>
  <c r="T7" i="22"/>
  <c r="AR25" i="22" l="1"/>
  <c r="W17" i="22"/>
  <c r="AT17" i="22" s="1"/>
  <c r="AA17" i="22"/>
  <c r="BW17" i="22"/>
  <c r="AD17" i="22"/>
  <c r="AH17" i="22"/>
  <c r="AR12" i="22"/>
  <c r="R30" i="22"/>
  <c r="T9" i="22"/>
  <c r="T11" i="22"/>
  <c r="T13" i="22"/>
  <c r="T16" i="22"/>
  <c r="T19" i="22"/>
  <c r="T24" i="22"/>
  <c r="T26" i="22"/>
  <c r="T27" i="22"/>
  <c r="T28" i="22"/>
  <c r="T30" i="22"/>
  <c r="C65" i="25" l="1"/>
  <c r="D65" i="25"/>
  <c r="L53" i="25" s="1"/>
  <c r="D64" i="25"/>
  <c r="H205" i="7" l="1"/>
  <c r="I205" i="7"/>
  <c r="D57" i="8" l="1"/>
  <c r="D46" i="8"/>
  <c r="BO11" i="34" l="1"/>
  <c r="AQ19" i="34"/>
  <c r="F19" i="34"/>
  <c r="G19" i="34"/>
  <c r="H19" i="34"/>
  <c r="AQ31" i="22" l="1"/>
  <c r="G31" i="22"/>
  <c r="H31" i="22"/>
  <c r="I31" i="22"/>
  <c r="R31" i="22"/>
  <c r="AP31" i="22"/>
  <c r="D22" i="36"/>
  <c r="F22" i="36"/>
  <c r="H22" i="36"/>
  <c r="I22" i="36"/>
  <c r="J22" i="36"/>
  <c r="K22" i="36"/>
  <c r="L22" i="36"/>
  <c r="M22" i="36"/>
  <c r="N22" i="36"/>
  <c r="I16" i="38" l="1"/>
  <c r="H16" i="38"/>
  <c r="F16" i="38"/>
  <c r="Q7" i="38"/>
  <c r="Q9" i="38"/>
  <c r="Q10" i="38"/>
  <c r="Q11" i="38"/>
  <c r="Q12" i="38"/>
  <c r="Q6" i="38"/>
  <c r="P7" i="38"/>
  <c r="P9" i="38"/>
  <c r="P10" i="38"/>
  <c r="P11" i="38"/>
  <c r="P12" i="38"/>
  <c r="P6" i="38"/>
  <c r="O10" i="38"/>
  <c r="O11" i="38"/>
  <c r="O12" i="38"/>
  <c r="N7" i="38"/>
  <c r="N9" i="38"/>
  <c r="N10" i="38"/>
  <c r="N11" i="38"/>
  <c r="N12" i="38"/>
  <c r="N6" i="38"/>
  <c r="M7" i="38"/>
  <c r="M9" i="38"/>
  <c r="M10" i="38"/>
  <c r="M11" i="38"/>
  <c r="M12" i="38"/>
  <c r="M6" i="38"/>
  <c r="L7" i="38"/>
  <c r="L9" i="38"/>
  <c r="L10" i="38"/>
  <c r="L11" i="38"/>
  <c r="L12" i="38"/>
  <c r="L6" i="38"/>
  <c r="K11" i="38"/>
  <c r="K12" i="38"/>
  <c r="J7" i="38"/>
  <c r="J9" i="38"/>
  <c r="J10" i="38"/>
  <c r="J11" i="38"/>
  <c r="J12" i="38"/>
  <c r="J6" i="38"/>
  <c r="I6" i="38"/>
  <c r="I7" i="38"/>
  <c r="I9" i="38"/>
  <c r="I10" i="38"/>
  <c r="I11" i="38"/>
  <c r="I12" i="38"/>
  <c r="H7" i="38"/>
  <c r="H9" i="38"/>
  <c r="H10" i="38"/>
  <c r="H11" i="38"/>
  <c r="H12" i="38"/>
  <c r="H6" i="38"/>
  <c r="G10" i="38"/>
  <c r="G11" i="38"/>
  <c r="G12" i="38"/>
  <c r="F11" i="38"/>
  <c r="F12" i="38"/>
  <c r="E7" i="38"/>
  <c r="E9" i="38"/>
  <c r="E10" i="38"/>
  <c r="E11" i="38"/>
  <c r="E12" i="38"/>
  <c r="E6" i="38"/>
  <c r="D7" i="38"/>
  <c r="D9" i="38"/>
  <c r="D10" i="38"/>
  <c r="D11" i="38"/>
  <c r="D12" i="38"/>
  <c r="D6" i="38"/>
  <c r="C12" i="38"/>
  <c r="R21" i="38"/>
  <c r="R20" i="38"/>
  <c r="Q18" i="38"/>
  <c r="P18" i="38"/>
  <c r="O18" i="38"/>
  <c r="N18" i="38"/>
  <c r="M18" i="38"/>
  <c r="L18" i="38"/>
  <c r="K18" i="38"/>
  <c r="J18" i="38"/>
  <c r="E18" i="38"/>
  <c r="D18" i="38"/>
  <c r="C18" i="38"/>
  <c r="G17" i="38"/>
  <c r="G18" i="38" s="1"/>
  <c r="S11" i="38"/>
  <c r="S8" i="38"/>
  <c r="S7" i="38"/>
  <c r="S6" i="38"/>
  <c r="R16" i="38" l="1"/>
  <c r="S22" i="38"/>
  <c r="R12" i="38"/>
  <c r="N54" i="25"/>
  <c r="F15" i="37" s="1"/>
  <c r="F15" i="38" s="1"/>
  <c r="D8" i="37"/>
  <c r="D13" i="37" s="1"/>
  <c r="E8" i="37"/>
  <c r="H8" i="37"/>
  <c r="I8" i="37"/>
  <c r="J8" i="37"/>
  <c r="L8" i="37"/>
  <c r="L13" i="37" s="1"/>
  <c r="M8" i="37"/>
  <c r="N8" i="37"/>
  <c r="N13" i="37" s="1"/>
  <c r="P8" i="37"/>
  <c r="Q8" i="37"/>
  <c r="I16" i="17"/>
  <c r="H16" i="17"/>
  <c r="F18" i="17"/>
  <c r="G18" i="17"/>
  <c r="H18" i="17"/>
  <c r="J18" i="17"/>
  <c r="L18" i="17"/>
  <c r="F19" i="17"/>
  <c r="G19" i="17"/>
  <c r="H19" i="17"/>
  <c r="J19" i="17"/>
  <c r="L19" i="17"/>
  <c r="F20" i="17"/>
  <c r="G20" i="17"/>
  <c r="H20" i="17"/>
  <c r="J20" i="17"/>
  <c r="L20" i="17"/>
  <c r="F21" i="17"/>
  <c r="G21" i="17"/>
  <c r="H21" i="17"/>
  <c r="J21" i="17"/>
  <c r="L21" i="17"/>
  <c r="G22" i="17"/>
  <c r="F23" i="17"/>
  <c r="G23" i="17"/>
  <c r="H23" i="17"/>
  <c r="J23" i="17"/>
  <c r="K23" i="17"/>
  <c r="L23" i="17"/>
  <c r="E24" i="17"/>
  <c r="F24" i="17"/>
  <c r="G24" i="17"/>
  <c r="H24" i="17"/>
  <c r="J24" i="17"/>
  <c r="K24" i="17"/>
  <c r="L24" i="17"/>
  <c r="C25" i="17"/>
  <c r="D25" i="17"/>
  <c r="E25" i="17"/>
  <c r="F25" i="17"/>
  <c r="H25" i="17"/>
  <c r="J25" i="17"/>
  <c r="K25" i="17"/>
  <c r="L25" i="17"/>
  <c r="F17" i="17"/>
  <c r="G17" i="17"/>
  <c r="H17" i="17"/>
  <c r="J17" i="17"/>
  <c r="L17" i="17"/>
  <c r="S19" i="37"/>
  <c r="Q18" i="37"/>
  <c r="P18" i="37"/>
  <c r="O18" i="37"/>
  <c r="N18" i="37"/>
  <c r="M18" i="37"/>
  <c r="L18" i="37"/>
  <c r="K18" i="37"/>
  <c r="J18" i="37"/>
  <c r="G18" i="37"/>
  <c r="E18" i="37"/>
  <c r="D18" i="37"/>
  <c r="C18" i="37"/>
  <c r="R16" i="37"/>
  <c r="R12" i="37"/>
  <c r="S8" i="37"/>
  <c r="S7" i="37"/>
  <c r="S6" i="37"/>
  <c r="P8" i="38" l="1"/>
  <c r="P13" i="38" s="1"/>
  <c r="P22" i="38" s="1"/>
  <c r="P13" i="37"/>
  <c r="P19" i="37" s="1"/>
  <c r="M8" i="38"/>
  <c r="M13" i="38" s="1"/>
  <c r="M22" i="38" s="1"/>
  <c r="M13" i="37"/>
  <c r="M19" i="37" s="1"/>
  <c r="J8" i="38"/>
  <c r="J13" i="38" s="1"/>
  <c r="J22" i="38" s="1"/>
  <c r="J13" i="37"/>
  <c r="J19" i="37" s="1"/>
  <c r="H8" i="38"/>
  <c r="H13" i="38" s="1"/>
  <c r="H13" i="37"/>
  <c r="Q8" i="38"/>
  <c r="Q13" i="38" s="1"/>
  <c r="Q22" i="38" s="1"/>
  <c r="Q13" i="37"/>
  <c r="Q19" i="37" s="1"/>
  <c r="I8" i="38"/>
  <c r="I13" i="38" s="1"/>
  <c r="I13" i="37"/>
  <c r="E8" i="38"/>
  <c r="E13" i="38" s="1"/>
  <c r="E22" i="38" s="1"/>
  <c r="E13" i="37"/>
  <c r="E19" i="37" s="1"/>
  <c r="N8" i="38"/>
  <c r="N13" i="38" s="1"/>
  <c r="N22" i="38" s="1"/>
  <c r="L8" i="38"/>
  <c r="L13" i="38" s="1"/>
  <c r="L22" i="38" s="1"/>
  <c r="D19" i="37"/>
  <c r="D8" i="38"/>
  <c r="D13" i="38" s="1"/>
  <c r="D22" i="38" s="1"/>
  <c r="O54" i="25"/>
  <c r="L19" i="37"/>
  <c r="N19" i="37"/>
  <c r="N11" i="36" l="1"/>
  <c r="N23" i="36" s="1"/>
  <c r="M11" i="36"/>
  <c r="M23" i="36" s="1"/>
  <c r="L11" i="36"/>
  <c r="L23" i="36" s="1"/>
  <c r="K11" i="36"/>
  <c r="K23" i="36" s="1"/>
  <c r="J11" i="36"/>
  <c r="J23" i="36" s="1"/>
  <c r="I11" i="36"/>
  <c r="I23" i="36" s="1"/>
  <c r="H11" i="36"/>
  <c r="H23" i="36" s="1"/>
  <c r="F11" i="36"/>
  <c r="F23" i="36" s="1"/>
  <c r="D11" i="36"/>
  <c r="D23" i="36" s="1"/>
  <c r="AI5" i="36" l="1"/>
  <c r="N53" i="25" l="1"/>
  <c r="L52" i="25"/>
  <c r="O53" i="25" l="1"/>
  <c r="H15" i="37" s="1"/>
  <c r="H15" i="38" s="1"/>
  <c r="R20" i="25"/>
  <c r="O19" i="25"/>
  <c r="Q19" i="25"/>
  <c r="N52" i="25"/>
  <c r="O52" i="25" s="1"/>
  <c r="I15" i="37" s="1"/>
  <c r="I15" i="38" s="1"/>
  <c r="L55" i="25"/>
  <c r="O20" i="25"/>
  <c r="Q20" i="25"/>
  <c r="N55" i="25" l="1"/>
  <c r="R15" i="38"/>
  <c r="Q21" i="25"/>
  <c r="O55" i="25"/>
  <c r="O21" i="25"/>
  <c r="R15" i="37" l="1"/>
  <c r="B241" i="7" l="1"/>
  <c r="B231" i="7"/>
  <c r="B229" i="7"/>
  <c r="B230" i="7"/>
  <c r="B239" i="7" l="1"/>
  <c r="B238" i="7"/>
  <c r="AN4" i="7"/>
  <c r="AO4" i="7" s="1"/>
  <c r="AP4" i="7" s="1"/>
  <c r="AQ4" i="7" s="1"/>
  <c r="AR4" i="7" s="1"/>
  <c r="AS4" i="7" s="1"/>
  <c r="B227" i="7"/>
  <c r="B228" i="7"/>
  <c r="P6" i="35" l="1"/>
  <c r="V12" i="35"/>
  <c r="AJ12" i="35" s="1"/>
  <c r="U12" i="35"/>
  <c r="AI12" i="35" s="1"/>
  <c r="T12" i="35"/>
  <c r="AH12" i="35" s="1"/>
  <c r="S12" i="35"/>
  <c r="AG12" i="35" s="1"/>
  <c r="R12" i="35"/>
  <c r="AF12" i="35" s="1"/>
  <c r="Q12" i="35"/>
  <c r="AE12" i="35" s="1"/>
  <c r="P12" i="35"/>
  <c r="AD12" i="35" s="1"/>
  <c r="V11" i="35"/>
  <c r="AJ11" i="35" s="1"/>
  <c r="U11" i="35"/>
  <c r="AI11" i="35" s="1"/>
  <c r="T11" i="35"/>
  <c r="AH11" i="35" s="1"/>
  <c r="S11" i="35"/>
  <c r="AG11" i="35" s="1"/>
  <c r="R11" i="35"/>
  <c r="Q11" i="35"/>
  <c r="AE11" i="35" s="1"/>
  <c r="P11" i="35"/>
  <c r="AD11" i="35" s="1"/>
  <c r="V10" i="35"/>
  <c r="U10" i="35"/>
  <c r="T10" i="35"/>
  <c r="S10" i="35"/>
  <c r="R10" i="35"/>
  <c r="Q10" i="35"/>
  <c r="P10" i="35"/>
  <c r="V9" i="35"/>
  <c r="U9" i="35"/>
  <c r="T9" i="35"/>
  <c r="S9" i="35"/>
  <c r="R9" i="35"/>
  <c r="Q9" i="35"/>
  <c r="P9" i="35"/>
  <c r="V8" i="35"/>
  <c r="U8" i="35"/>
  <c r="T8" i="35"/>
  <c r="S8" i="35"/>
  <c r="R8" i="35"/>
  <c r="Q8" i="35"/>
  <c r="P8" i="35"/>
  <c r="V7" i="35"/>
  <c r="U7" i="35"/>
  <c r="T7" i="35"/>
  <c r="S7" i="35"/>
  <c r="R7" i="35"/>
  <c r="Q7" i="35"/>
  <c r="P7" i="35"/>
  <c r="V6" i="35"/>
  <c r="U6" i="35"/>
  <c r="T6" i="35"/>
  <c r="S6" i="35"/>
  <c r="R6" i="35"/>
  <c r="Q6" i="35"/>
  <c r="P5" i="35"/>
  <c r="Q5" i="35" s="1"/>
  <c r="R5" i="35" s="1"/>
  <c r="S5" i="35" s="1"/>
  <c r="T5" i="35" s="1"/>
  <c r="D24" i="34" l="1"/>
  <c r="D25" i="34"/>
  <c r="D26" i="34"/>
  <c r="D27" i="34"/>
  <c r="D29" i="34"/>
  <c r="U18" i="34"/>
  <c r="BI18" i="34" s="1"/>
  <c r="U13" i="34"/>
  <c r="U14" i="34"/>
  <c r="BI14" i="34" s="1"/>
  <c r="U15" i="34"/>
  <c r="BI15" i="34" s="1"/>
  <c r="U16" i="34"/>
  <c r="BI16" i="34" s="1"/>
  <c r="U17" i="34"/>
  <c r="BI17" i="34" s="1"/>
  <c r="U6" i="34"/>
  <c r="BI6" i="34" s="1"/>
  <c r="U7" i="34"/>
  <c r="BI7" i="34" s="1"/>
  <c r="U8" i="34"/>
  <c r="BI8" i="34" s="1"/>
  <c r="U9" i="34"/>
  <c r="BI9" i="34" s="1"/>
  <c r="U10" i="34"/>
  <c r="BI10" i="34" s="1"/>
  <c r="U11" i="34"/>
  <c r="BI11" i="34" s="1"/>
  <c r="U12" i="34"/>
  <c r="BI12" i="34" s="1"/>
  <c r="U5" i="34"/>
  <c r="BI5" i="34" s="1"/>
  <c r="BI13" i="34"/>
  <c r="BI19" i="34" s="1"/>
  <c r="BJ7" i="22"/>
  <c r="BJ14" i="22"/>
  <c r="BJ18" i="22"/>
  <c r="BJ19" i="22"/>
  <c r="BJ20" i="22"/>
  <c r="BJ21" i="22"/>
  <c r="BJ22" i="22"/>
  <c r="BJ23" i="22"/>
  <c r="BJ24" i="22"/>
  <c r="BJ27" i="22"/>
  <c r="BJ28" i="22"/>
  <c r="BJ30" i="22"/>
  <c r="BJ32" i="22"/>
  <c r="BJ33" i="22"/>
  <c r="BJ34" i="22"/>
  <c r="AM9" i="35" l="1"/>
  <c r="AM7" i="35"/>
  <c r="AM8" i="35"/>
  <c r="AM6" i="35"/>
  <c r="E37" i="22"/>
  <c r="E39" i="22"/>
  <c r="E42" i="22"/>
  <c r="E43" i="22"/>
  <c r="AQ12" i="13" s="1"/>
  <c r="I46" i="28"/>
  <c r="I57" i="8"/>
  <c r="I46" i="8"/>
  <c r="T11" i="13"/>
  <c r="AH11" i="13" s="1"/>
  <c r="U11" i="13"/>
  <c r="AI11" i="13" s="1"/>
  <c r="V11" i="13"/>
  <c r="W11" i="13"/>
  <c r="AK11" i="13" s="1"/>
  <c r="X11" i="13"/>
  <c r="AL11" i="13" s="1"/>
  <c r="Y11" i="13"/>
  <c r="AM11" i="13" s="1"/>
  <c r="Z11" i="13"/>
  <c r="AN11" i="13" s="1"/>
  <c r="BI28" i="22"/>
  <c r="BI30" i="22"/>
  <c r="AM5" i="35" l="1"/>
  <c r="E41" i="22"/>
  <c r="BI19" i="22"/>
  <c r="BI5" i="22" l="1"/>
  <c r="B8" i="8"/>
  <c r="D5" i="8"/>
  <c r="D60" i="8"/>
  <c r="F57" i="8"/>
  <c r="F61" i="8"/>
  <c r="E59" i="8"/>
  <c r="F59" i="8" s="1"/>
  <c r="E58" i="8"/>
  <c r="F58" i="8" s="1"/>
  <c r="E56" i="8"/>
  <c r="F56" i="8" s="1"/>
  <c r="E55" i="8"/>
  <c r="F55" i="8" s="1"/>
  <c r="C60" i="8"/>
  <c r="C59" i="8"/>
  <c r="C58" i="8"/>
  <c r="C56" i="8"/>
  <c r="C55" i="8"/>
  <c r="G60" i="8"/>
  <c r="E60" i="8"/>
  <c r="F60" i="8" s="1"/>
  <c r="G59" i="8"/>
  <c r="D59" i="8"/>
  <c r="G58" i="8"/>
  <c r="H57" i="8"/>
  <c r="G57" i="8"/>
  <c r="C57" i="8"/>
  <c r="G56" i="8"/>
  <c r="D56" i="8"/>
  <c r="G55" i="8"/>
  <c r="D55" i="8"/>
  <c r="BJ6" i="22" l="1"/>
  <c r="BJ5" i="22"/>
  <c r="CE12" i="34" l="1"/>
  <c r="CD12" i="34"/>
  <c r="CC12" i="34"/>
  <c r="CB12" i="34"/>
  <c r="CA12" i="34"/>
  <c r="BZ12" i="34"/>
  <c r="BY12" i="34"/>
  <c r="BX12" i="34"/>
  <c r="BW12" i="34"/>
  <c r="BV12" i="34"/>
  <c r="BU12" i="34"/>
  <c r="BS12" i="34"/>
  <c r="BR12" i="34"/>
  <c r="BQ12" i="34"/>
  <c r="BP12" i="34"/>
  <c r="BO12" i="34"/>
  <c r="BN12" i="34"/>
  <c r="BM12" i="34"/>
  <c r="BL12" i="34"/>
  <c r="BK12" i="34"/>
  <c r="BJ12" i="34"/>
  <c r="AJ12" i="34"/>
  <c r="AI12" i="34"/>
  <c r="I12" i="34"/>
  <c r="AB12" i="34" l="1"/>
  <c r="BT12" i="34"/>
  <c r="CE24" i="22"/>
  <c r="CD24" i="22"/>
  <c r="CC24" i="22"/>
  <c r="CB24" i="22"/>
  <c r="CA24" i="22"/>
  <c r="BZ24" i="22"/>
  <c r="BY24" i="22"/>
  <c r="BX24" i="22"/>
  <c r="BV24" i="22"/>
  <c r="BU24" i="22"/>
  <c r="BS24" i="22"/>
  <c r="BT24" i="22" s="1"/>
  <c r="BQ24" i="22"/>
  <c r="BR24" i="22" s="1"/>
  <c r="BO24" i="22"/>
  <c r="BP24" i="22" s="1"/>
  <c r="BM24" i="22"/>
  <c r="BN24" i="22" s="1"/>
  <c r="BK24" i="22"/>
  <c r="BL24" i="22" s="1"/>
  <c r="AI24" i="22"/>
  <c r="J24" i="22"/>
  <c r="C24" i="22"/>
  <c r="BQ38" i="7" l="1"/>
  <c r="BP38" i="7"/>
  <c r="BO38" i="7"/>
  <c r="BN38" i="7"/>
  <c r="BM38" i="7"/>
  <c r="BL38" i="7"/>
  <c r="BK38" i="7"/>
  <c r="BJ38" i="7"/>
  <c r="BI38" i="7"/>
  <c r="BG38" i="7"/>
  <c r="BF38" i="7"/>
  <c r="BE38" i="7"/>
  <c r="BD38" i="7"/>
  <c r="BC38" i="7"/>
  <c r="BB38" i="7"/>
  <c r="BA38" i="7"/>
  <c r="AZ38" i="7"/>
  <c r="AY38" i="7"/>
  <c r="AX38" i="7"/>
  <c r="AW38" i="7"/>
  <c r="AV38" i="7"/>
  <c r="AK38" i="7"/>
  <c r="AL38" i="7" s="1"/>
  <c r="AJ38" i="7"/>
  <c r="AI38" i="7"/>
  <c r="AG38" i="7"/>
  <c r="AF38" i="7"/>
  <c r="AE38" i="7"/>
  <c r="AD38" i="7"/>
  <c r="AC38" i="7"/>
  <c r="AB38" i="7"/>
  <c r="AA38" i="7"/>
  <c r="R38" i="7"/>
  <c r="P38" i="7"/>
  <c r="J38" i="7"/>
  <c r="V38" i="7" l="1"/>
  <c r="Z38" i="7"/>
  <c r="AH38" i="7"/>
  <c r="BH38" i="7"/>
  <c r="AO38" i="7"/>
  <c r="AS38" i="7"/>
  <c r="AJ16" i="7"/>
  <c r="AJ17" i="7"/>
  <c r="AJ18" i="7"/>
  <c r="AJ20" i="7"/>
  <c r="AJ22" i="7"/>
  <c r="AJ24" i="7"/>
  <c r="AJ26" i="7"/>
  <c r="AJ28" i="7"/>
  <c r="AJ30" i="7"/>
  <c r="AJ32" i="7"/>
  <c r="AJ21" i="7"/>
  <c r="AJ25" i="7"/>
  <c r="AJ29" i="7"/>
  <c r="AJ31" i="7"/>
  <c r="R6" i="7"/>
  <c r="R7" i="7"/>
  <c r="R8" i="7"/>
  <c r="R9" i="7"/>
  <c r="R10" i="7"/>
  <c r="R11" i="7"/>
  <c r="R12" i="7"/>
  <c r="R13" i="7"/>
  <c r="R14" i="7"/>
  <c r="R15" i="7"/>
  <c r="R16" i="7"/>
  <c r="R17" i="7"/>
  <c r="R18" i="7"/>
  <c r="R19" i="7"/>
  <c r="R20" i="7"/>
  <c r="R21" i="7"/>
  <c r="R22" i="7"/>
  <c r="R23" i="7"/>
  <c r="R24" i="7"/>
  <c r="R25" i="7"/>
  <c r="R26" i="7"/>
  <c r="R27" i="7"/>
  <c r="R28" i="7"/>
  <c r="R29" i="7"/>
  <c r="R30" i="7"/>
  <c r="R31" i="7"/>
  <c r="R32" i="7"/>
  <c r="R33" i="7"/>
  <c r="R34" i="7"/>
  <c r="R35" i="7"/>
  <c r="R36" i="7"/>
  <c r="R37"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1" i="7"/>
  <c r="R72" i="7"/>
  <c r="R73" i="7"/>
  <c r="R74" i="7"/>
  <c r="R75" i="7"/>
  <c r="R76" i="7"/>
  <c r="R77" i="7"/>
  <c r="R78" i="7"/>
  <c r="R79" i="7"/>
  <c r="R80" i="7"/>
  <c r="R81" i="7"/>
  <c r="R82" i="7"/>
  <c r="R83" i="7"/>
  <c r="R84" i="7"/>
  <c r="R85" i="7"/>
  <c r="R86" i="7"/>
  <c r="R87" i="7"/>
  <c r="R88" i="7"/>
  <c r="R89" i="7"/>
  <c r="R90" i="7"/>
  <c r="R91" i="7"/>
  <c r="R92" i="7"/>
  <c r="R93" i="7"/>
  <c r="R94" i="7"/>
  <c r="R95" i="7"/>
  <c r="R96" i="7"/>
  <c r="R97" i="7"/>
  <c r="R98" i="7"/>
  <c r="R99" i="7"/>
  <c r="R100" i="7"/>
  <c r="R101" i="7"/>
  <c r="R102" i="7"/>
  <c r="R103" i="7"/>
  <c r="R104" i="7"/>
  <c r="R105" i="7"/>
  <c r="R106" i="7"/>
  <c r="R107" i="7"/>
  <c r="R108" i="7"/>
  <c r="R109" i="7"/>
  <c r="R110" i="7"/>
  <c r="R111" i="7"/>
  <c r="R112" i="7"/>
  <c r="R113" i="7"/>
  <c r="R114" i="7"/>
  <c r="R115" i="7"/>
  <c r="R116" i="7"/>
  <c r="R117" i="7"/>
  <c r="R118" i="7"/>
  <c r="R119" i="7"/>
  <c r="R120" i="7"/>
  <c r="R121" i="7"/>
  <c r="R122" i="7"/>
  <c r="R123" i="7"/>
  <c r="R124" i="7"/>
  <c r="R125" i="7"/>
  <c r="R126" i="7"/>
  <c r="R127" i="7"/>
  <c r="R128" i="7"/>
  <c r="R129" i="7"/>
  <c r="R130" i="7"/>
  <c r="R131" i="7"/>
  <c r="R132" i="7"/>
  <c r="R133" i="7"/>
  <c r="R134" i="7"/>
  <c r="R135" i="7"/>
  <c r="R136" i="7"/>
  <c r="R137" i="7"/>
  <c r="R138" i="7"/>
  <c r="R139" i="7"/>
  <c r="R140" i="7"/>
  <c r="R141" i="7"/>
  <c r="R142" i="7"/>
  <c r="R143" i="7"/>
  <c r="R144" i="7"/>
  <c r="R145" i="7"/>
  <c r="R146" i="7"/>
  <c r="R147" i="7"/>
  <c r="R148" i="7"/>
  <c r="R149" i="7"/>
  <c r="R150" i="7"/>
  <c r="R151" i="7"/>
  <c r="R152" i="7"/>
  <c r="R153" i="7"/>
  <c r="R154" i="7"/>
  <c r="R155" i="7"/>
  <c r="R156" i="7"/>
  <c r="R157" i="7"/>
  <c r="R158" i="7"/>
  <c r="R159" i="7"/>
  <c r="R160" i="7"/>
  <c r="R161" i="7"/>
  <c r="R162" i="7"/>
  <c r="R163" i="7"/>
  <c r="R164" i="7"/>
  <c r="R165" i="7"/>
  <c r="R166" i="7"/>
  <c r="R167" i="7"/>
  <c r="R168" i="7"/>
  <c r="R169" i="7"/>
  <c r="R170" i="7"/>
  <c r="R171" i="7"/>
  <c r="R172" i="7"/>
  <c r="R173" i="7"/>
  <c r="R174" i="7"/>
  <c r="R175" i="7"/>
  <c r="R176" i="7"/>
  <c r="R177" i="7"/>
  <c r="R178" i="7"/>
  <c r="R179" i="7"/>
  <c r="R180" i="7"/>
  <c r="R181" i="7"/>
  <c r="R182" i="7"/>
  <c r="R183" i="7"/>
  <c r="R184" i="7"/>
  <c r="R185" i="7"/>
  <c r="R186" i="7"/>
  <c r="R187" i="7"/>
  <c r="R188" i="7"/>
  <c r="R189" i="7"/>
  <c r="R190" i="7"/>
  <c r="R191" i="7"/>
  <c r="R192" i="7"/>
  <c r="R193" i="7"/>
  <c r="R194" i="7"/>
  <c r="R195" i="7"/>
  <c r="R196" i="7"/>
  <c r="R197" i="7"/>
  <c r="R198" i="7"/>
  <c r="R199" i="7"/>
  <c r="BF199" i="7" s="1"/>
  <c r="R200" i="7"/>
  <c r="R201" i="7"/>
  <c r="R202" i="7"/>
  <c r="R203" i="7"/>
  <c r="R204" i="7"/>
  <c r="BI7" i="22"/>
  <c r="BI18" i="22"/>
  <c r="BJ13" i="22" l="1"/>
  <c r="BI13" i="22"/>
  <c r="BJ11" i="22"/>
  <c r="BI11" i="22"/>
  <c r="BJ9" i="22"/>
  <c r="BI9" i="22"/>
  <c r="BJ8" i="22"/>
  <c r="BJ10" i="22"/>
  <c r="B225" i="7"/>
  <c r="B236" i="7" s="1"/>
  <c r="B237" i="7"/>
  <c r="B226" i="7"/>
  <c r="E40" i="22"/>
  <c r="AJ27" i="7"/>
  <c r="AJ23" i="7"/>
  <c r="AJ19" i="7"/>
  <c r="B4" i="20"/>
  <c r="C9" i="20" l="1"/>
  <c r="AV15" i="7"/>
  <c r="AW15" i="7" s="1"/>
  <c r="AV16" i="7"/>
  <c r="AV17" i="7"/>
  <c r="AW17" i="7" s="1"/>
  <c r="AV18" i="7"/>
  <c r="AV19" i="7"/>
  <c r="AW19" i="7" s="1"/>
  <c r="AV20" i="7"/>
  <c r="AV21" i="7"/>
  <c r="AW21" i="7" s="1"/>
  <c r="AV22" i="7"/>
  <c r="AV23" i="7"/>
  <c r="AV24" i="7"/>
  <c r="AV25" i="7"/>
  <c r="AW25" i="7" s="1"/>
  <c r="AV26" i="7"/>
  <c r="AV27" i="7"/>
  <c r="AV28" i="7"/>
  <c r="AV29" i="7"/>
  <c r="AV30" i="7"/>
  <c r="AV31" i="7"/>
  <c r="AW31" i="7" s="1"/>
  <c r="AV32" i="7"/>
  <c r="AV33" i="7"/>
  <c r="AV34" i="7"/>
  <c r="AV35" i="7"/>
  <c r="AW35" i="7" s="1"/>
  <c r="AV36" i="7"/>
  <c r="AV37" i="7"/>
  <c r="AW37" i="7" s="1"/>
  <c r="AV39" i="7"/>
  <c r="AW39" i="7" s="1"/>
  <c r="AV40" i="7"/>
  <c r="AV41" i="7"/>
  <c r="AW41" i="7" s="1"/>
  <c r="AV42" i="7"/>
  <c r="AV43" i="7"/>
  <c r="AV44" i="7"/>
  <c r="AV45" i="7"/>
  <c r="AW45" i="7" s="1"/>
  <c r="AV46" i="7"/>
  <c r="AV47" i="7"/>
  <c r="AV48" i="7"/>
  <c r="AV49" i="7"/>
  <c r="AW49" i="7" s="1"/>
  <c r="AV50" i="7"/>
  <c r="AV51" i="7"/>
  <c r="AW51" i="7" s="1"/>
  <c r="AV52" i="7"/>
  <c r="AV53" i="7"/>
  <c r="AV54" i="7"/>
  <c r="AV55" i="7"/>
  <c r="AW55" i="7" s="1"/>
  <c r="AV56" i="7"/>
  <c r="AV57" i="7"/>
  <c r="AV58" i="7"/>
  <c r="AV59" i="7"/>
  <c r="AW59" i="7" s="1"/>
  <c r="AV60" i="7"/>
  <c r="AV61" i="7"/>
  <c r="AV62" i="7"/>
  <c r="AV63" i="7"/>
  <c r="AW63" i="7" s="1"/>
  <c r="AV64" i="7"/>
  <c r="AV65" i="7"/>
  <c r="AV66" i="7"/>
  <c r="AV67" i="7"/>
  <c r="AV68" i="7"/>
  <c r="AV69" i="7"/>
  <c r="AV70" i="7"/>
  <c r="AV71" i="7"/>
  <c r="AV72" i="7"/>
  <c r="AV73" i="7"/>
  <c r="AW73" i="7" s="1"/>
  <c r="AV74" i="7"/>
  <c r="AV75" i="7"/>
  <c r="AW75" i="7" s="1"/>
  <c r="AV76" i="7"/>
  <c r="AV77" i="7"/>
  <c r="AV78" i="7"/>
  <c r="AV79" i="7"/>
  <c r="AW79" i="7" s="1"/>
  <c r="AV80" i="7"/>
  <c r="AV81" i="7"/>
  <c r="AW81" i="7" s="1"/>
  <c r="AV82" i="7"/>
  <c r="AV83" i="7"/>
  <c r="AV84" i="7"/>
  <c r="AV85" i="7"/>
  <c r="AV86" i="7"/>
  <c r="AV87" i="7"/>
  <c r="AW87" i="7" s="1"/>
  <c r="AV88" i="7"/>
  <c r="AV89" i="7"/>
  <c r="AW89" i="7" s="1"/>
  <c r="AV90" i="7"/>
  <c r="AV91" i="7"/>
  <c r="AW91" i="7" s="1"/>
  <c r="AV92" i="7"/>
  <c r="AV93" i="7"/>
  <c r="AV94" i="7"/>
  <c r="AV95" i="7"/>
  <c r="AV96" i="7"/>
  <c r="AV97" i="7"/>
  <c r="AV98" i="7"/>
  <c r="AV99" i="7"/>
  <c r="AV100" i="7"/>
  <c r="AV101" i="7"/>
  <c r="AV102" i="7"/>
  <c r="AV103" i="7"/>
  <c r="AV104" i="7"/>
  <c r="AV105" i="7"/>
  <c r="AW105" i="7" s="1"/>
  <c r="AV106" i="7"/>
  <c r="AV107" i="7"/>
  <c r="AV108" i="7"/>
  <c r="AV109" i="7"/>
  <c r="AW109" i="7" s="1"/>
  <c r="AV110" i="7"/>
  <c r="AV111" i="7"/>
  <c r="AV112" i="7"/>
  <c r="AV113" i="7"/>
  <c r="AV114" i="7"/>
  <c r="AV115" i="7"/>
  <c r="AV116" i="7"/>
  <c r="AV117" i="7"/>
  <c r="AV118" i="7"/>
  <c r="AV119" i="7"/>
  <c r="AV120" i="7"/>
  <c r="AV121" i="7"/>
  <c r="AW121" i="7" s="1"/>
  <c r="AV122" i="7"/>
  <c r="AV123" i="7"/>
  <c r="AW123" i="7" s="1"/>
  <c r="AV124" i="7"/>
  <c r="AV125" i="7"/>
  <c r="AW125" i="7" s="1"/>
  <c r="AV126" i="7"/>
  <c r="AV127" i="7"/>
  <c r="AW127" i="7" s="1"/>
  <c r="AV128" i="7"/>
  <c r="AV129" i="7"/>
  <c r="AW129" i="7" s="1"/>
  <c r="AV130" i="7"/>
  <c r="AV131" i="7"/>
  <c r="AW131" i="7" s="1"/>
  <c r="AV132" i="7"/>
  <c r="AV133" i="7"/>
  <c r="AW133" i="7" s="1"/>
  <c r="AV134" i="7"/>
  <c r="AV135" i="7"/>
  <c r="AW135" i="7" s="1"/>
  <c r="AV136" i="7"/>
  <c r="AV137" i="7"/>
  <c r="AW137" i="7" s="1"/>
  <c r="AV138" i="7"/>
  <c r="AV139" i="7"/>
  <c r="AW139" i="7" s="1"/>
  <c r="AV140" i="7"/>
  <c r="AV141" i="7"/>
  <c r="AW141" i="7" s="1"/>
  <c r="AV142" i="7"/>
  <c r="AV143" i="7"/>
  <c r="AW143" i="7" s="1"/>
  <c r="AV144" i="7"/>
  <c r="AV145" i="7"/>
  <c r="AW145" i="7" s="1"/>
  <c r="AV146" i="7"/>
  <c r="AV147" i="7"/>
  <c r="AW147" i="7" s="1"/>
  <c r="AV148" i="7"/>
  <c r="AV149" i="7"/>
  <c r="AV150" i="7"/>
  <c r="AV151" i="7"/>
  <c r="AW151" i="7" s="1"/>
  <c r="AV152" i="7"/>
  <c r="AV153" i="7"/>
  <c r="AW153" i="7" s="1"/>
  <c r="AV154" i="7"/>
  <c r="AV155" i="7"/>
  <c r="AW155" i="7" s="1"/>
  <c r="AV156" i="7"/>
  <c r="AV157" i="7"/>
  <c r="AV158" i="7"/>
  <c r="AV159" i="7"/>
  <c r="AV160" i="7"/>
  <c r="AV161" i="7"/>
  <c r="AW161" i="7" s="1"/>
  <c r="AV162" i="7"/>
  <c r="AV163" i="7"/>
  <c r="AW163" i="7" s="1"/>
  <c r="AV164" i="7"/>
  <c r="AV165" i="7"/>
  <c r="AW165" i="7" s="1"/>
  <c r="AV166" i="7"/>
  <c r="AV167" i="7"/>
  <c r="AV168" i="7"/>
  <c r="AV169" i="7"/>
  <c r="AW169" i="7" s="1"/>
  <c r="AV170" i="7"/>
  <c r="AV171" i="7"/>
  <c r="AW171" i="7" s="1"/>
  <c r="AV172" i="7"/>
  <c r="AV173" i="7"/>
  <c r="AW173" i="7" s="1"/>
  <c r="AV174" i="7"/>
  <c r="AV175" i="7"/>
  <c r="AW175" i="7" s="1"/>
  <c r="AV176" i="7"/>
  <c r="AV177" i="7"/>
  <c r="AW177" i="7" s="1"/>
  <c r="AV178" i="7"/>
  <c r="AV179" i="7"/>
  <c r="AW179" i="7" s="1"/>
  <c r="AV180" i="7"/>
  <c r="AV181" i="7"/>
  <c r="AW181" i="7" s="1"/>
  <c r="AV182" i="7"/>
  <c r="AV183" i="7"/>
  <c r="AW183" i="7" s="1"/>
  <c r="AV184" i="7"/>
  <c r="AV185" i="7"/>
  <c r="AW185" i="7" s="1"/>
  <c r="AV186" i="7"/>
  <c r="AV187" i="7"/>
  <c r="AW187" i="7" s="1"/>
  <c r="AV188" i="7"/>
  <c r="AV189" i="7"/>
  <c r="AW189" i="7" s="1"/>
  <c r="AV190" i="7"/>
  <c r="AV191" i="7"/>
  <c r="AW191" i="7" s="1"/>
  <c r="AV192" i="7"/>
  <c r="AV193" i="7"/>
  <c r="AV194" i="7"/>
  <c r="AV195" i="7"/>
  <c r="AW195" i="7" s="1"/>
  <c r="AV196" i="7"/>
  <c r="AV197" i="7"/>
  <c r="AW197" i="7" s="1"/>
  <c r="AV198" i="7"/>
  <c r="AV199" i="7"/>
  <c r="AW199" i="7" s="1"/>
  <c r="AV200" i="7"/>
  <c r="AV201" i="7"/>
  <c r="AV202" i="7"/>
  <c r="AV203" i="7"/>
  <c r="AW203" i="7" s="1"/>
  <c r="AV204" i="7"/>
  <c r="AV6" i="7"/>
  <c r="AV7" i="7"/>
  <c r="AW7" i="7" s="1"/>
  <c r="AV8" i="7"/>
  <c r="AV9" i="7"/>
  <c r="AW9" i="7" s="1"/>
  <c r="AV10" i="7"/>
  <c r="AV11" i="7"/>
  <c r="AW11" i="7" s="1"/>
  <c r="AV12" i="7"/>
  <c r="AV13" i="7"/>
  <c r="AW13" i="7" s="1"/>
  <c r="AV14" i="7"/>
  <c r="AV5" i="7"/>
  <c r="AV4" i="7"/>
  <c r="AW4" i="7"/>
  <c r="AX9" i="7"/>
  <c r="AY9" i="7" s="1"/>
  <c r="AZ9" i="7"/>
  <c r="BA9" i="7" s="1"/>
  <c r="BB9" i="7"/>
  <c r="BC9" i="7" s="1"/>
  <c r="BD9" i="7"/>
  <c r="BE9" i="7" s="1"/>
  <c r="BG9" i="7"/>
  <c r="BH9" i="7"/>
  <c r="BI9" i="7"/>
  <c r="BJ9" i="7"/>
  <c r="BK9" i="7"/>
  <c r="BL9" i="7"/>
  <c r="BM9" i="7"/>
  <c r="BN9" i="7"/>
  <c r="BO9" i="7"/>
  <c r="BP9" i="7"/>
  <c r="AW10" i="7"/>
  <c r="AX10" i="7"/>
  <c r="AY10" i="7"/>
  <c r="AZ10" i="7"/>
  <c r="BA10" i="7"/>
  <c r="BB10" i="7"/>
  <c r="BC10" i="7"/>
  <c r="BD10" i="7"/>
  <c r="BE10" i="7"/>
  <c r="BF10" i="7"/>
  <c r="BG10" i="7"/>
  <c r="BI10" i="7"/>
  <c r="BJ10" i="7"/>
  <c r="BK10" i="7"/>
  <c r="BL10" i="7"/>
  <c r="BM10" i="7"/>
  <c r="BN10" i="7"/>
  <c r="BO10" i="7"/>
  <c r="BP10" i="7"/>
  <c r="BQ10" i="7"/>
  <c r="AX11" i="7"/>
  <c r="AY11" i="7" s="1"/>
  <c r="AZ11" i="7"/>
  <c r="BA11" i="7" s="1"/>
  <c r="BB11" i="7"/>
  <c r="BC11" i="7" s="1"/>
  <c r="BD11" i="7"/>
  <c r="BE11" i="7" s="1"/>
  <c r="BF11" i="7"/>
  <c r="BH11" i="7"/>
  <c r="BI11" i="7"/>
  <c r="BJ11" i="7"/>
  <c r="BK11" i="7"/>
  <c r="BL11" i="7"/>
  <c r="BM11" i="7"/>
  <c r="BN11" i="7"/>
  <c r="BO11" i="7"/>
  <c r="BP11" i="7"/>
  <c r="BQ11" i="7"/>
  <c r="AW12" i="7"/>
  <c r="AX12" i="7"/>
  <c r="AY12" i="7"/>
  <c r="AZ12" i="7"/>
  <c r="BA12" i="7"/>
  <c r="BB12" i="7"/>
  <c r="BC12" i="7"/>
  <c r="BD12" i="7"/>
  <c r="BE12" i="7"/>
  <c r="BF12" i="7"/>
  <c r="BG12" i="7"/>
  <c r="BH12" i="7"/>
  <c r="BI12" i="7"/>
  <c r="BJ12" i="7"/>
  <c r="BK12" i="7"/>
  <c r="BL12" i="7"/>
  <c r="BM12" i="7"/>
  <c r="BN12" i="7"/>
  <c r="BO12" i="7"/>
  <c r="BP12" i="7"/>
  <c r="BQ12" i="7"/>
  <c r="AX13" i="7"/>
  <c r="AY13" i="7" s="1"/>
  <c r="AZ13" i="7"/>
  <c r="BA13" i="7" s="1"/>
  <c r="BB13" i="7"/>
  <c r="BC13" i="7" s="1"/>
  <c r="BD13" i="7"/>
  <c r="BE13" i="7" s="1"/>
  <c r="BG13" i="7"/>
  <c r="BH13" i="7"/>
  <c r="BI13" i="7"/>
  <c r="BJ13" i="7"/>
  <c r="BK13" i="7"/>
  <c r="BL13" i="7"/>
  <c r="BM13" i="7"/>
  <c r="BN13" i="7"/>
  <c r="BO13" i="7"/>
  <c r="BP13" i="7"/>
  <c r="BQ13" i="7"/>
  <c r="AW14" i="7"/>
  <c r="AX14" i="7"/>
  <c r="AY14" i="7"/>
  <c r="AZ14" i="7"/>
  <c r="BA14" i="7"/>
  <c r="BB14" i="7"/>
  <c r="BC14" i="7"/>
  <c r="BD14" i="7"/>
  <c r="BE14" i="7"/>
  <c r="BF14" i="7"/>
  <c r="BG14" i="7"/>
  <c r="BI14" i="7"/>
  <c r="BJ14" i="7"/>
  <c r="BK14" i="7"/>
  <c r="BL14" i="7"/>
  <c r="BM14" i="7"/>
  <c r="BN14" i="7"/>
  <c r="BO14" i="7"/>
  <c r="BP14" i="7"/>
  <c r="BQ14" i="7"/>
  <c r="AX15" i="7"/>
  <c r="AY15" i="7" s="1"/>
  <c r="AZ15" i="7"/>
  <c r="BA15" i="7" s="1"/>
  <c r="BB15" i="7"/>
  <c r="BC15" i="7" s="1"/>
  <c r="BD15" i="7"/>
  <c r="BE15" i="7" s="1"/>
  <c r="BG15" i="7"/>
  <c r="BH15" i="7"/>
  <c r="BI15" i="7"/>
  <c r="BJ15" i="7"/>
  <c r="BK15" i="7"/>
  <c r="BL15" i="7"/>
  <c r="BN15" i="7"/>
  <c r="BO15" i="7"/>
  <c r="BP15" i="7"/>
  <c r="AW16" i="7"/>
  <c r="AX16" i="7"/>
  <c r="AY16" i="7"/>
  <c r="AZ16" i="7"/>
  <c r="BA16" i="7"/>
  <c r="BB16" i="7"/>
  <c r="BC16" i="7"/>
  <c r="BD16" i="7"/>
  <c r="BE16" i="7"/>
  <c r="BF16" i="7"/>
  <c r="BG16" i="7"/>
  <c r="BI16" i="7"/>
  <c r="BJ16" i="7"/>
  <c r="BK16" i="7"/>
  <c r="BL16" i="7"/>
  <c r="BM16" i="7"/>
  <c r="BN16" i="7"/>
  <c r="BO16" i="7"/>
  <c r="BP16" i="7"/>
  <c r="BQ16" i="7"/>
  <c r="AX17" i="7"/>
  <c r="AY17" i="7" s="1"/>
  <c r="AZ17" i="7"/>
  <c r="BA17" i="7" s="1"/>
  <c r="BB17" i="7"/>
  <c r="BC17" i="7" s="1"/>
  <c r="BD17" i="7"/>
  <c r="BE17" i="7" s="1"/>
  <c r="BG17" i="7"/>
  <c r="BH17" i="7"/>
  <c r="BI17" i="7"/>
  <c r="BJ17" i="7"/>
  <c r="BK17" i="7"/>
  <c r="BL17" i="7"/>
  <c r="BM17" i="7"/>
  <c r="BN17" i="7"/>
  <c r="BO17" i="7"/>
  <c r="BP17" i="7"/>
  <c r="BQ17" i="7"/>
  <c r="AW18" i="7"/>
  <c r="AX18" i="7"/>
  <c r="AY18" i="7"/>
  <c r="AZ18" i="7"/>
  <c r="BA18" i="7"/>
  <c r="BB18" i="7"/>
  <c r="BC18" i="7"/>
  <c r="BD18" i="7"/>
  <c r="BE18" i="7"/>
  <c r="BF18" i="7"/>
  <c r="BG18" i="7"/>
  <c r="BH18" i="7"/>
  <c r="BI18" i="7"/>
  <c r="BJ18" i="7"/>
  <c r="BK18" i="7"/>
  <c r="BL18" i="7"/>
  <c r="BM18" i="7"/>
  <c r="BN18" i="7"/>
  <c r="BO18" i="7"/>
  <c r="BP18" i="7"/>
  <c r="BQ18" i="7"/>
  <c r="AX19" i="7"/>
  <c r="AY19" i="7" s="1"/>
  <c r="AZ19" i="7"/>
  <c r="BA19" i="7" s="1"/>
  <c r="BB19" i="7"/>
  <c r="BC19" i="7" s="1"/>
  <c r="BD19" i="7"/>
  <c r="BE19" i="7" s="1"/>
  <c r="BG19" i="7"/>
  <c r="BH19" i="7"/>
  <c r="BI19" i="7"/>
  <c r="BJ19" i="7"/>
  <c r="BK19" i="7"/>
  <c r="BL19" i="7"/>
  <c r="BN19" i="7"/>
  <c r="BO19" i="7"/>
  <c r="BP19" i="7"/>
  <c r="BQ19" i="7"/>
  <c r="AW20" i="7"/>
  <c r="AX20" i="7"/>
  <c r="AY20" i="7"/>
  <c r="AZ20" i="7"/>
  <c r="BA20" i="7"/>
  <c r="BB20" i="7"/>
  <c r="BC20" i="7"/>
  <c r="BD20" i="7"/>
  <c r="BE20" i="7"/>
  <c r="BF20" i="7"/>
  <c r="BG20" i="7"/>
  <c r="BH20" i="7"/>
  <c r="BI20" i="7"/>
  <c r="BJ20" i="7"/>
  <c r="BK20" i="7"/>
  <c r="BL20" i="7"/>
  <c r="BM20" i="7"/>
  <c r="BN20" i="7"/>
  <c r="BO20" i="7"/>
  <c r="BP20" i="7"/>
  <c r="BQ20" i="7"/>
  <c r="AX21" i="7"/>
  <c r="AY21" i="7" s="1"/>
  <c r="AZ21" i="7"/>
  <c r="BA21" i="7" s="1"/>
  <c r="BB21" i="7"/>
  <c r="BC21" i="7" s="1"/>
  <c r="BD21" i="7"/>
  <c r="BE21" i="7" s="1"/>
  <c r="BG21" i="7"/>
  <c r="BH21" i="7"/>
  <c r="BI21" i="7"/>
  <c r="BJ21" i="7"/>
  <c r="BK21" i="7"/>
  <c r="BL21" i="7"/>
  <c r="BM21" i="7"/>
  <c r="BN21" i="7"/>
  <c r="BO21" i="7"/>
  <c r="BP21" i="7"/>
  <c r="BQ21" i="7"/>
  <c r="AW22" i="7"/>
  <c r="AX22" i="7"/>
  <c r="AY22" i="7"/>
  <c r="AZ22" i="7"/>
  <c r="BA22" i="7"/>
  <c r="BB22" i="7"/>
  <c r="BC22" i="7"/>
  <c r="BD22" i="7"/>
  <c r="BE22" i="7"/>
  <c r="BF22" i="7"/>
  <c r="BG22" i="7"/>
  <c r="BH22" i="7"/>
  <c r="BI22" i="7"/>
  <c r="BJ22" i="7"/>
  <c r="BK22" i="7"/>
  <c r="BL22" i="7"/>
  <c r="BM22" i="7"/>
  <c r="BN22" i="7"/>
  <c r="BO22" i="7"/>
  <c r="BP22" i="7"/>
  <c r="BQ22" i="7"/>
  <c r="AW23" i="7"/>
  <c r="AX23" i="7"/>
  <c r="AY23" i="7" s="1"/>
  <c r="AZ23" i="7"/>
  <c r="BA23" i="7" s="1"/>
  <c r="BB23" i="7"/>
  <c r="BC23" i="7" s="1"/>
  <c r="BD23" i="7"/>
  <c r="BE23" i="7" s="1"/>
  <c r="BG23" i="7"/>
  <c r="BH23" i="7"/>
  <c r="BI23" i="7"/>
  <c r="BJ23" i="7"/>
  <c r="BK23" i="7"/>
  <c r="BL23" i="7"/>
  <c r="BM23" i="7"/>
  <c r="BN23" i="7"/>
  <c r="BO23" i="7"/>
  <c r="BP23" i="7"/>
  <c r="AW24" i="7"/>
  <c r="AX24" i="7"/>
  <c r="AY24" i="7"/>
  <c r="AZ24" i="7"/>
  <c r="BA24" i="7"/>
  <c r="BB24" i="7"/>
  <c r="BC24" i="7"/>
  <c r="BD24" i="7"/>
  <c r="BE24" i="7"/>
  <c r="BF24" i="7"/>
  <c r="BG24" i="7"/>
  <c r="BI24" i="7"/>
  <c r="BJ24" i="7"/>
  <c r="BK24" i="7"/>
  <c r="BL24" i="7"/>
  <c r="BM24" i="7"/>
  <c r="BN24" i="7"/>
  <c r="BO24" i="7"/>
  <c r="BP24" i="7"/>
  <c r="BQ24" i="7"/>
  <c r="AX25" i="7"/>
  <c r="AY25" i="7" s="1"/>
  <c r="AZ25" i="7"/>
  <c r="BA25" i="7" s="1"/>
  <c r="BB25" i="7"/>
  <c r="BC25" i="7" s="1"/>
  <c r="BD25" i="7"/>
  <c r="BE25" i="7" s="1"/>
  <c r="BG25" i="7"/>
  <c r="BH25" i="7"/>
  <c r="BI25" i="7"/>
  <c r="BJ25" i="7"/>
  <c r="BK25" i="7"/>
  <c r="BL25" i="7"/>
  <c r="BM25" i="7"/>
  <c r="BN25" i="7"/>
  <c r="BO25" i="7"/>
  <c r="BP25" i="7"/>
  <c r="BQ25" i="7"/>
  <c r="AW26" i="7"/>
  <c r="AX26" i="7"/>
  <c r="AY26" i="7"/>
  <c r="AZ26" i="7"/>
  <c r="BA26" i="7"/>
  <c r="BB26" i="7"/>
  <c r="BC26" i="7"/>
  <c r="BD26" i="7"/>
  <c r="BE26" i="7"/>
  <c r="BF26" i="7"/>
  <c r="BG26" i="7"/>
  <c r="BI26" i="7"/>
  <c r="BJ26" i="7"/>
  <c r="BK26" i="7"/>
  <c r="BL26" i="7"/>
  <c r="BM26" i="7"/>
  <c r="BN26" i="7"/>
  <c r="BO26" i="7"/>
  <c r="BP26" i="7"/>
  <c r="BQ26" i="7"/>
  <c r="AW27" i="7"/>
  <c r="AX27" i="7"/>
  <c r="AY27" i="7" s="1"/>
  <c r="AZ27" i="7"/>
  <c r="BA27" i="7" s="1"/>
  <c r="BB27" i="7"/>
  <c r="BC27" i="7" s="1"/>
  <c r="BD27" i="7"/>
  <c r="BE27" i="7" s="1"/>
  <c r="BG27" i="7"/>
  <c r="BH27" i="7"/>
  <c r="BI27" i="7"/>
  <c r="BJ27" i="7"/>
  <c r="BK27" i="7"/>
  <c r="BL27" i="7"/>
  <c r="BM27" i="7"/>
  <c r="BN27" i="7"/>
  <c r="BO27" i="7"/>
  <c r="BP27" i="7"/>
  <c r="AW28" i="7"/>
  <c r="AX28" i="7"/>
  <c r="AY28" i="7"/>
  <c r="AZ28" i="7"/>
  <c r="BA28" i="7"/>
  <c r="BB28" i="7"/>
  <c r="BC28" i="7"/>
  <c r="BD28" i="7"/>
  <c r="BE28" i="7"/>
  <c r="BF28" i="7"/>
  <c r="BG28" i="7"/>
  <c r="BH28" i="7"/>
  <c r="BI28" i="7"/>
  <c r="BJ28" i="7"/>
  <c r="BK28" i="7"/>
  <c r="BL28" i="7"/>
  <c r="BM28" i="7"/>
  <c r="BN28" i="7"/>
  <c r="BO28" i="7"/>
  <c r="BP28" i="7"/>
  <c r="BQ28" i="7"/>
  <c r="AW29" i="7"/>
  <c r="AX29" i="7"/>
  <c r="AY29" i="7"/>
  <c r="AZ29" i="7"/>
  <c r="BA29" i="7"/>
  <c r="BB29" i="7"/>
  <c r="BC29" i="7"/>
  <c r="BD29" i="7"/>
  <c r="BE29" i="7"/>
  <c r="BF29" i="7"/>
  <c r="BH29" i="7"/>
  <c r="BI29" i="7"/>
  <c r="BJ29" i="7"/>
  <c r="BK29" i="7"/>
  <c r="BL29" i="7"/>
  <c r="BM29" i="7"/>
  <c r="BN29" i="7"/>
  <c r="BO29" i="7"/>
  <c r="BP29" i="7"/>
  <c r="BQ29" i="7"/>
  <c r="AW30" i="7"/>
  <c r="AX30" i="7"/>
  <c r="AY30" i="7"/>
  <c r="AZ30" i="7"/>
  <c r="BA30" i="7"/>
  <c r="BB30" i="7"/>
  <c r="BC30" i="7"/>
  <c r="BD30" i="7"/>
  <c r="BE30" i="7"/>
  <c r="BF30" i="7"/>
  <c r="BG30" i="7"/>
  <c r="BH30" i="7"/>
  <c r="BI30" i="7"/>
  <c r="BJ30" i="7"/>
  <c r="BK30" i="7"/>
  <c r="BL30" i="7"/>
  <c r="BM30" i="7"/>
  <c r="BN30" i="7"/>
  <c r="BO30" i="7"/>
  <c r="BP30" i="7"/>
  <c r="BQ30" i="7"/>
  <c r="AX31" i="7"/>
  <c r="AY31" i="7" s="1"/>
  <c r="AZ31" i="7"/>
  <c r="BA31" i="7" s="1"/>
  <c r="BB31" i="7"/>
  <c r="BC31" i="7" s="1"/>
  <c r="BD31" i="7"/>
  <c r="BE31" i="7" s="1"/>
  <c r="BG31" i="7"/>
  <c r="BH31" i="7"/>
  <c r="BI31" i="7"/>
  <c r="BJ31" i="7"/>
  <c r="BK31" i="7"/>
  <c r="BL31" i="7"/>
  <c r="BM31" i="7"/>
  <c r="BN31" i="7"/>
  <c r="BO31" i="7"/>
  <c r="BP31" i="7"/>
  <c r="AW32" i="7"/>
  <c r="AX32" i="7"/>
  <c r="AY32" i="7"/>
  <c r="AZ32" i="7"/>
  <c r="BA32" i="7"/>
  <c r="BB32" i="7"/>
  <c r="BC32" i="7"/>
  <c r="BD32" i="7"/>
  <c r="BE32" i="7"/>
  <c r="BF32" i="7"/>
  <c r="BG32" i="7"/>
  <c r="BI32" i="7"/>
  <c r="BJ32" i="7"/>
  <c r="BK32" i="7"/>
  <c r="BL32" i="7"/>
  <c r="BM32" i="7"/>
  <c r="BN32" i="7"/>
  <c r="BO32" i="7"/>
  <c r="BP32" i="7"/>
  <c r="BQ32" i="7"/>
  <c r="AW33" i="7"/>
  <c r="AX33" i="7"/>
  <c r="AY33" i="7"/>
  <c r="AZ33" i="7"/>
  <c r="BA33" i="7"/>
  <c r="BB33" i="7"/>
  <c r="BC33" i="7"/>
  <c r="BD33" i="7"/>
  <c r="BE33" i="7"/>
  <c r="BG33" i="7"/>
  <c r="BH33" i="7"/>
  <c r="BI33" i="7"/>
  <c r="BJ33" i="7"/>
  <c r="BK33" i="7"/>
  <c r="BL33" i="7"/>
  <c r="BN33" i="7"/>
  <c r="BO33" i="7"/>
  <c r="BP33" i="7"/>
  <c r="BQ33" i="7"/>
  <c r="AW34" i="7"/>
  <c r="AX34" i="7"/>
  <c r="AY34" i="7"/>
  <c r="AZ34" i="7"/>
  <c r="BA34" i="7"/>
  <c r="BB34" i="7"/>
  <c r="BC34" i="7"/>
  <c r="BD34" i="7"/>
  <c r="BE34" i="7"/>
  <c r="BF34" i="7"/>
  <c r="BG34" i="7"/>
  <c r="BH34" i="7"/>
  <c r="BI34" i="7"/>
  <c r="BJ34" i="7"/>
  <c r="BK34" i="7"/>
  <c r="BL34" i="7"/>
  <c r="BM34" i="7"/>
  <c r="BN34" i="7"/>
  <c r="BO34" i="7"/>
  <c r="BP34" i="7"/>
  <c r="BQ34" i="7"/>
  <c r="AX35" i="7"/>
  <c r="AY35" i="7" s="1"/>
  <c r="AZ35" i="7"/>
  <c r="BA35" i="7" s="1"/>
  <c r="BB35" i="7"/>
  <c r="BC35" i="7" s="1"/>
  <c r="BD35" i="7"/>
  <c r="BE35" i="7" s="1"/>
  <c r="BG35" i="7"/>
  <c r="BH35" i="7"/>
  <c r="BI35" i="7"/>
  <c r="BJ35" i="7"/>
  <c r="BK35" i="7"/>
  <c r="BL35" i="7"/>
  <c r="BN35" i="7"/>
  <c r="BO35" i="7"/>
  <c r="BP35" i="7"/>
  <c r="AW36" i="7"/>
  <c r="AX36" i="7"/>
  <c r="AY36" i="7"/>
  <c r="AZ36" i="7"/>
  <c r="BA36" i="7"/>
  <c r="BB36" i="7"/>
  <c r="BC36" i="7"/>
  <c r="BD36" i="7"/>
  <c r="BE36" i="7"/>
  <c r="BF36" i="7"/>
  <c r="BG36" i="7"/>
  <c r="BH36" i="7"/>
  <c r="BI36" i="7"/>
  <c r="BJ36" i="7"/>
  <c r="BK36" i="7"/>
  <c r="BL36" i="7"/>
  <c r="BM36" i="7"/>
  <c r="BN36" i="7"/>
  <c r="BO36" i="7"/>
  <c r="BP36" i="7"/>
  <c r="BQ36" i="7"/>
  <c r="AX37" i="7"/>
  <c r="AY37" i="7" s="1"/>
  <c r="AZ37" i="7"/>
  <c r="BA37" i="7" s="1"/>
  <c r="BB37" i="7"/>
  <c r="BC37" i="7" s="1"/>
  <c r="BD37" i="7"/>
  <c r="BE37" i="7" s="1"/>
  <c r="BF37" i="7"/>
  <c r="BH37" i="7"/>
  <c r="BI37" i="7"/>
  <c r="BJ37" i="7"/>
  <c r="BK37" i="7"/>
  <c r="BL37" i="7"/>
  <c r="BM37" i="7"/>
  <c r="BN37" i="7"/>
  <c r="BO37" i="7"/>
  <c r="BP37" i="7"/>
  <c r="BQ37" i="7"/>
  <c r="AX39" i="7"/>
  <c r="AY39" i="7" s="1"/>
  <c r="AZ39" i="7"/>
  <c r="BA39" i="7" s="1"/>
  <c r="BB39" i="7"/>
  <c r="BC39" i="7" s="1"/>
  <c r="BD39" i="7"/>
  <c r="BE39" i="7" s="1"/>
  <c r="BF39" i="7"/>
  <c r="BG39" i="7"/>
  <c r="BI39" i="7"/>
  <c r="BJ39" i="7"/>
  <c r="BK39" i="7"/>
  <c r="BL39" i="7"/>
  <c r="BM39" i="7"/>
  <c r="BN39" i="7"/>
  <c r="BO39" i="7"/>
  <c r="BP39" i="7"/>
  <c r="BQ39" i="7"/>
  <c r="AW40" i="7"/>
  <c r="AX40" i="7"/>
  <c r="AY40" i="7"/>
  <c r="AZ40" i="7"/>
  <c r="BA40" i="7"/>
  <c r="BB40" i="7"/>
  <c r="BC40" i="7"/>
  <c r="BD40" i="7"/>
  <c r="BE40" i="7"/>
  <c r="BF40" i="7"/>
  <c r="BG40" i="7"/>
  <c r="BH40" i="7"/>
  <c r="BI40" i="7"/>
  <c r="BJ40" i="7"/>
  <c r="BK40" i="7"/>
  <c r="BL40" i="7"/>
  <c r="BM40" i="7"/>
  <c r="BN40" i="7"/>
  <c r="BO40" i="7"/>
  <c r="BP40" i="7"/>
  <c r="BQ40" i="7"/>
  <c r="AX41" i="7"/>
  <c r="AY41" i="7" s="1"/>
  <c r="AZ41" i="7"/>
  <c r="BA41" i="7" s="1"/>
  <c r="BB41" i="7"/>
  <c r="BC41" i="7" s="1"/>
  <c r="BD41" i="7"/>
  <c r="BE41" i="7" s="1"/>
  <c r="BG41" i="7"/>
  <c r="BH41" i="7"/>
  <c r="BI41" i="7"/>
  <c r="BJ41" i="7"/>
  <c r="BK41" i="7"/>
  <c r="BL41" i="7"/>
  <c r="BN41" i="7"/>
  <c r="BO41" i="7"/>
  <c r="BP41" i="7"/>
  <c r="BQ41" i="7"/>
  <c r="AW42" i="7"/>
  <c r="AX42" i="7"/>
  <c r="AY42" i="7"/>
  <c r="AZ42" i="7"/>
  <c r="BA42" i="7"/>
  <c r="BB42" i="7"/>
  <c r="BC42" i="7"/>
  <c r="BD42" i="7"/>
  <c r="BE42" i="7"/>
  <c r="BF42" i="7"/>
  <c r="BG42" i="7"/>
  <c r="BH42" i="7"/>
  <c r="BI42" i="7"/>
  <c r="BJ42" i="7"/>
  <c r="BK42" i="7"/>
  <c r="BL42" i="7"/>
  <c r="BM42" i="7"/>
  <c r="BN42" i="7"/>
  <c r="BO42" i="7"/>
  <c r="BP42" i="7"/>
  <c r="BQ42" i="7"/>
  <c r="AW43" i="7"/>
  <c r="AX43" i="7"/>
  <c r="AY43" i="7"/>
  <c r="AZ43" i="7"/>
  <c r="BA43" i="7"/>
  <c r="BB43" i="7"/>
  <c r="BC43" i="7"/>
  <c r="BD43" i="7"/>
  <c r="BE43" i="7"/>
  <c r="BG43" i="7"/>
  <c r="BH43" i="7"/>
  <c r="BI43" i="7"/>
  <c r="BJ43" i="7"/>
  <c r="BK43" i="7"/>
  <c r="BL43" i="7"/>
  <c r="BM43" i="7"/>
  <c r="BN43" i="7"/>
  <c r="BO43" i="7"/>
  <c r="BP43" i="7"/>
  <c r="AW44" i="7"/>
  <c r="AX44" i="7"/>
  <c r="AY44" i="7"/>
  <c r="AZ44" i="7"/>
  <c r="BA44" i="7"/>
  <c r="BB44" i="7"/>
  <c r="BC44" i="7"/>
  <c r="BD44" i="7"/>
  <c r="BE44" i="7"/>
  <c r="BF44" i="7"/>
  <c r="BG44" i="7"/>
  <c r="BH44" i="7"/>
  <c r="BI44" i="7"/>
  <c r="BJ44" i="7"/>
  <c r="BK44" i="7"/>
  <c r="BL44" i="7"/>
  <c r="BM44" i="7"/>
  <c r="BN44" i="7"/>
  <c r="BO44" i="7"/>
  <c r="BP44" i="7"/>
  <c r="BQ44" i="7"/>
  <c r="AX45" i="7"/>
  <c r="AY45" i="7" s="1"/>
  <c r="AZ45" i="7"/>
  <c r="BA45" i="7" s="1"/>
  <c r="BB45" i="7"/>
  <c r="BC45" i="7" s="1"/>
  <c r="BD45" i="7"/>
  <c r="BE45" i="7" s="1"/>
  <c r="BG45" i="7"/>
  <c r="BH45" i="7"/>
  <c r="BI45" i="7"/>
  <c r="BJ45" i="7"/>
  <c r="BK45" i="7"/>
  <c r="BL45" i="7"/>
  <c r="BN45" i="7"/>
  <c r="BO45" i="7"/>
  <c r="BP45" i="7"/>
  <c r="BQ45" i="7"/>
  <c r="AW46" i="7"/>
  <c r="AX46" i="7"/>
  <c r="AY46" i="7"/>
  <c r="AZ46" i="7"/>
  <c r="BA46" i="7"/>
  <c r="BB46" i="7"/>
  <c r="BC46" i="7"/>
  <c r="BD46" i="7"/>
  <c r="BE46" i="7"/>
  <c r="BF46" i="7"/>
  <c r="BG46" i="7"/>
  <c r="BI46" i="7"/>
  <c r="BJ46" i="7"/>
  <c r="BK46" i="7"/>
  <c r="BL46" i="7"/>
  <c r="BM46" i="7"/>
  <c r="BN46" i="7"/>
  <c r="BO46" i="7"/>
  <c r="BP46" i="7"/>
  <c r="BQ46" i="7"/>
  <c r="AW47" i="7"/>
  <c r="AX47" i="7"/>
  <c r="AY47" i="7" s="1"/>
  <c r="AZ47" i="7"/>
  <c r="BA47" i="7" s="1"/>
  <c r="BB47" i="7"/>
  <c r="BC47" i="7" s="1"/>
  <c r="BD47" i="7"/>
  <c r="BE47" i="7" s="1"/>
  <c r="BF47" i="7"/>
  <c r="BH47" i="7"/>
  <c r="BI47" i="7"/>
  <c r="BJ47" i="7"/>
  <c r="BK47" i="7"/>
  <c r="BL47" i="7"/>
  <c r="BM47" i="7"/>
  <c r="BN47" i="7"/>
  <c r="BO47" i="7"/>
  <c r="BP47" i="7"/>
  <c r="AW48" i="7"/>
  <c r="AX48" i="7"/>
  <c r="AY48" i="7"/>
  <c r="AZ48" i="7"/>
  <c r="BA48" i="7"/>
  <c r="BB48" i="7"/>
  <c r="BC48" i="7"/>
  <c r="BD48" i="7"/>
  <c r="BE48" i="7"/>
  <c r="BF48" i="7"/>
  <c r="BG48" i="7"/>
  <c r="BH48" i="7"/>
  <c r="BI48" i="7"/>
  <c r="BJ48" i="7"/>
  <c r="BK48" i="7"/>
  <c r="BL48" i="7"/>
  <c r="BM48" i="7"/>
  <c r="BN48" i="7"/>
  <c r="BO48" i="7"/>
  <c r="BP48" i="7"/>
  <c r="BQ48" i="7"/>
  <c r="AX49" i="7"/>
  <c r="AY49" i="7" s="1"/>
  <c r="AZ49" i="7"/>
  <c r="BA49" i="7" s="1"/>
  <c r="BB49" i="7"/>
  <c r="BC49" i="7" s="1"/>
  <c r="BD49" i="7"/>
  <c r="BE49" i="7" s="1"/>
  <c r="BG49" i="7"/>
  <c r="BH49" i="7"/>
  <c r="BI49" i="7"/>
  <c r="BJ49" i="7"/>
  <c r="BK49" i="7"/>
  <c r="BL49" i="7"/>
  <c r="BM49" i="7"/>
  <c r="BN49" i="7"/>
  <c r="BO49" i="7"/>
  <c r="BP49" i="7"/>
  <c r="BQ49" i="7"/>
  <c r="AW50" i="7"/>
  <c r="AX50" i="7"/>
  <c r="AY50" i="7"/>
  <c r="AZ50" i="7"/>
  <c r="BA50" i="7"/>
  <c r="BB50" i="7"/>
  <c r="BC50" i="7"/>
  <c r="BD50" i="7"/>
  <c r="BE50" i="7"/>
  <c r="BF50" i="7"/>
  <c r="BH50" i="7"/>
  <c r="BI50" i="7"/>
  <c r="BJ50" i="7"/>
  <c r="BK50" i="7"/>
  <c r="BL50" i="7"/>
  <c r="BM50" i="7"/>
  <c r="BN50" i="7"/>
  <c r="BO50" i="7"/>
  <c r="BP50" i="7"/>
  <c r="BQ50" i="7"/>
  <c r="AX51" i="7"/>
  <c r="AY51" i="7" s="1"/>
  <c r="AZ51" i="7"/>
  <c r="BA51" i="7" s="1"/>
  <c r="BB51" i="7"/>
  <c r="BC51" i="7" s="1"/>
  <c r="BD51" i="7"/>
  <c r="BE51" i="7" s="1"/>
  <c r="BG51" i="7"/>
  <c r="BH51" i="7"/>
  <c r="BI51" i="7"/>
  <c r="BJ51" i="7"/>
  <c r="BK51" i="7"/>
  <c r="BL51" i="7"/>
  <c r="BM51" i="7"/>
  <c r="BN51" i="7"/>
  <c r="BO51" i="7"/>
  <c r="BP51" i="7"/>
  <c r="AW52" i="7"/>
  <c r="AX52" i="7"/>
  <c r="AY52" i="7"/>
  <c r="AZ52" i="7"/>
  <c r="BA52" i="7"/>
  <c r="BB52" i="7"/>
  <c r="BC52" i="7"/>
  <c r="BD52" i="7"/>
  <c r="BE52" i="7"/>
  <c r="BF52" i="7"/>
  <c r="BG52" i="7"/>
  <c r="BI52" i="7"/>
  <c r="BJ52" i="7"/>
  <c r="BK52" i="7"/>
  <c r="BL52" i="7"/>
  <c r="BM52" i="7"/>
  <c r="BN52" i="7"/>
  <c r="BO52" i="7"/>
  <c r="BP52" i="7"/>
  <c r="BQ52" i="7"/>
  <c r="AW53" i="7"/>
  <c r="AX53" i="7"/>
  <c r="AY53" i="7" s="1"/>
  <c r="AZ53" i="7"/>
  <c r="BA53" i="7" s="1"/>
  <c r="BB53" i="7"/>
  <c r="BC53" i="7" s="1"/>
  <c r="BD53" i="7"/>
  <c r="BE53" i="7" s="1"/>
  <c r="BG53" i="7"/>
  <c r="BH53" i="7"/>
  <c r="BI53" i="7"/>
  <c r="BJ53" i="7"/>
  <c r="BK53" i="7"/>
  <c r="BL53" i="7"/>
  <c r="BM53" i="7"/>
  <c r="BN53" i="7"/>
  <c r="BO53" i="7"/>
  <c r="BP53" i="7"/>
  <c r="AW54" i="7"/>
  <c r="AX54" i="7"/>
  <c r="AY54" i="7"/>
  <c r="AZ54" i="7"/>
  <c r="BA54" i="7"/>
  <c r="BB54" i="7"/>
  <c r="BC54" i="7"/>
  <c r="BD54" i="7"/>
  <c r="BE54" i="7"/>
  <c r="BF54" i="7"/>
  <c r="BG54" i="7"/>
  <c r="BH54" i="7"/>
  <c r="BI54" i="7"/>
  <c r="BJ54" i="7"/>
  <c r="BK54" i="7"/>
  <c r="BL54" i="7"/>
  <c r="BM54" i="7"/>
  <c r="BN54" i="7"/>
  <c r="BO54" i="7"/>
  <c r="BP54" i="7"/>
  <c r="BQ54" i="7"/>
  <c r="AX55" i="7"/>
  <c r="AY55" i="7" s="1"/>
  <c r="AZ55" i="7"/>
  <c r="BA55" i="7" s="1"/>
  <c r="BB55" i="7"/>
  <c r="BC55" i="7" s="1"/>
  <c r="BD55" i="7"/>
  <c r="BE55" i="7" s="1"/>
  <c r="BG55" i="7"/>
  <c r="BH55" i="7"/>
  <c r="BI55" i="7"/>
  <c r="BJ55" i="7"/>
  <c r="BK55" i="7"/>
  <c r="BL55" i="7"/>
  <c r="BM55" i="7"/>
  <c r="BN55" i="7"/>
  <c r="BO55" i="7"/>
  <c r="BP55" i="7"/>
  <c r="BQ55" i="7"/>
  <c r="AW56" i="7"/>
  <c r="AX56" i="7"/>
  <c r="AY56" i="7"/>
  <c r="AZ56" i="7"/>
  <c r="BA56" i="7"/>
  <c r="BB56" i="7"/>
  <c r="BC56" i="7"/>
  <c r="BD56" i="7"/>
  <c r="BE56" i="7"/>
  <c r="BF56" i="7"/>
  <c r="BG56" i="7"/>
  <c r="BH56" i="7"/>
  <c r="BI56" i="7"/>
  <c r="BJ56" i="7"/>
  <c r="BK56" i="7"/>
  <c r="BL56" i="7"/>
  <c r="BM56" i="7"/>
  <c r="BN56" i="7"/>
  <c r="BO56" i="7"/>
  <c r="BP56" i="7"/>
  <c r="BQ56" i="7"/>
  <c r="AW57" i="7"/>
  <c r="AX57" i="7"/>
  <c r="AY57" i="7" s="1"/>
  <c r="AZ57" i="7"/>
  <c r="BA57" i="7" s="1"/>
  <c r="BB57" i="7"/>
  <c r="BC57" i="7" s="1"/>
  <c r="BD57" i="7"/>
  <c r="BE57" i="7" s="1"/>
  <c r="BF57" i="7"/>
  <c r="BH57" i="7"/>
  <c r="BI57" i="7"/>
  <c r="BJ57" i="7"/>
  <c r="BK57" i="7"/>
  <c r="BL57" i="7"/>
  <c r="BM57" i="7"/>
  <c r="BN57" i="7"/>
  <c r="BO57" i="7"/>
  <c r="BP57" i="7"/>
  <c r="BQ57" i="7"/>
  <c r="AW58" i="7"/>
  <c r="AX58" i="7"/>
  <c r="AY58" i="7"/>
  <c r="AZ58" i="7"/>
  <c r="BA58" i="7"/>
  <c r="BB58" i="7"/>
  <c r="BC58" i="7"/>
  <c r="BD58" i="7"/>
  <c r="BE58" i="7"/>
  <c r="BF58" i="7"/>
  <c r="BG58" i="7"/>
  <c r="BH58" i="7"/>
  <c r="BI58" i="7"/>
  <c r="BJ58" i="7"/>
  <c r="BK58" i="7"/>
  <c r="BL58" i="7"/>
  <c r="BM58" i="7"/>
  <c r="BN58" i="7"/>
  <c r="BO58" i="7"/>
  <c r="BP58" i="7"/>
  <c r="BQ58" i="7"/>
  <c r="AX59" i="7"/>
  <c r="AY59" i="7" s="1"/>
  <c r="AZ59" i="7"/>
  <c r="BA59" i="7" s="1"/>
  <c r="BB59" i="7"/>
  <c r="BC59" i="7" s="1"/>
  <c r="BD59" i="7"/>
  <c r="BE59" i="7" s="1"/>
  <c r="BG59" i="7"/>
  <c r="BH59" i="7"/>
  <c r="BI59" i="7"/>
  <c r="BJ59" i="7"/>
  <c r="BK59" i="7"/>
  <c r="BL59" i="7"/>
  <c r="BM59" i="7"/>
  <c r="BN59" i="7"/>
  <c r="BO59" i="7"/>
  <c r="BP59" i="7"/>
  <c r="BQ59" i="7"/>
  <c r="AW60" i="7"/>
  <c r="AX60" i="7"/>
  <c r="AY60" i="7"/>
  <c r="AZ60" i="7"/>
  <c r="BA60" i="7"/>
  <c r="BB60" i="7"/>
  <c r="BC60" i="7"/>
  <c r="BD60" i="7"/>
  <c r="BE60" i="7"/>
  <c r="BF60" i="7"/>
  <c r="BG60" i="7"/>
  <c r="BH60" i="7"/>
  <c r="BI60" i="7"/>
  <c r="BJ60" i="7"/>
  <c r="BK60" i="7"/>
  <c r="BL60" i="7"/>
  <c r="BM60" i="7"/>
  <c r="BN60" i="7"/>
  <c r="BO60" i="7"/>
  <c r="BP60" i="7"/>
  <c r="BQ60" i="7"/>
  <c r="AW61" i="7"/>
  <c r="AX61" i="7"/>
  <c r="AY61" i="7" s="1"/>
  <c r="AZ61" i="7"/>
  <c r="BA61" i="7" s="1"/>
  <c r="BB61" i="7"/>
  <c r="BC61" i="7" s="1"/>
  <c r="BD61" i="7"/>
  <c r="BE61" i="7" s="1"/>
  <c r="BG61" i="7"/>
  <c r="BH61" i="7"/>
  <c r="BI61" i="7"/>
  <c r="BJ61" i="7"/>
  <c r="BK61" i="7"/>
  <c r="BL61" i="7"/>
  <c r="BM61" i="7"/>
  <c r="BN61" i="7"/>
  <c r="BO61" i="7"/>
  <c r="BP61" i="7"/>
  <c r="BQ61" i="7"/>
  <c r="AW62" i="7"/>
  <c r="AX62" i="7"/>
  <c r="AY62" i="7"/>
  <c r="AZ62" i="7"/>
  <c r="BA62" i="7"/>
  <c r="BB62" i="7"/>
  <c r="BC62" i="7"/>
  <c r="BD62" i="7"/>
  <c r="BE62" i="7"/>
  <c r="BF62" i="7"/>
  <c r="BG62" i="7"/>
  <c r="BH62" i="7"/>
  <c r="BI62" i="7"/>
  <c r="BJ62" i="7"/>
  <c r="BK62" i="7"/>
  <c r="BL62" i="7"/>
  <c r="BM62" i="7"/>
  <c r="BN62" i="7"/>
  <c r="BO62" i="7"/>
  <c r="BP62" i="7"/>
  <c r="BQ62" i="7"/>
  <c r="AX63" i="7"/>
  <c r="AY63" i="7" s="1"/>
  <c r="AZ63" i="7"/>
  <c r="BA63" i="7" s="1"/>
  <c r="BB63" i="7"/>
  <c r="BC63" i="7" s="1"/>
  <c r="BD63" i="7"/>
  <c r="BE63" i="7" s="1"/>
  <c r="BF63" i="7"/>
  <c r="BH63" i="7"/>
  <c r="BI63" i="7"/>
  <c r="BJ63" i="7"/>
  <c r="BK63" i="7"/>
  <c r="BL63" i="7"/>
  <c r="BM63" i="7"/>
  <c r="BN63" i="7"/>
  <c r="BO63" i="7"/>
  <c r="BP63" i="7"/>
  <c r="BQ63" i="7"/>
  <c r="AW64" i="7"/>
  <c r="AX64" i="7"/>
  <c r="AY64" i="7"/>
  <c r="AZ64" i="7"/>
  <c r="BA64" i="7"/>
  <c r="BB64" i="7"/>
  <c r="BC64" i="7"/>
  <c r="BD64" i="7"/>
  <c r="BE64" i="7"/>
  <c r="BF64" i="7"/>
  <c r="BG64" i="7"/>
  <c r="BH64" i="7"/>
  <c r="BI64" i="7"/>
  <c r="BJ64" i="7"/>
  <c r="BK64" i="7"/>
  <c r="BL64" i="7"/>
  <c r="BM64" i="7"/>
  <c r="BN64" i="7"/>
  <c r="BO64" i="7"/>
  <c r="BP64" i="7"/>
  <c r="BQ64" i="7"/>
  <c r="AW65" i="7"/>
  <c r="AX65" i="7"/>
  <c r="AY65" i="7" s="1"/>
  <c r="AZ65" i="7"/>
  <c r="BA65" i="7" s="1"/>
  <c r="BB65" i="7"/>
  <c r="BC65" i="7" s="1"/>
  <c r="BD65" i="7"/>
  <c r="BE65" i="7" s="1"/>
  <c r="BG65" i="7"/>
  <c r="BH65" i="7"/>
  <c r="BI65" i="7"/>
  <c r="BJ65" i="7"/>
  <c r="BK65" i="7"/>
  <c r="BL65" i="7"/>
  <c r="BM65" i="7"/>
  <c r="BN65" i="7"/>
  <c r="BO65" i="7"/>
  <c r="BP65" i="7"/>
  <c r="AW66" i="7"/>
  <c r="AX66" i="7"/>
  <c r="AY66" i="7"/>
  <c r="AZ66" i="7"/>
  <c r="BA66" i="7"/>
  <c r="BB66" i="7"/>
  <c r="BC66" i="7"/>
  <c r="BD66" i="7"/>
  <c r="BE66" i="7"/>
  <c r="BF66" i="7"/>
  <c r="BG66" i="7"/>
  <c r="BH66" i="7"/>
  <c r="BI66" i="7"/>
  <c r="BJ66" i="7"/>
  <c r="BK66" i="7"/>
  <c r="BL66" i="7"/>
  <c r="BM66" i="7"/>
  <c r="BN66" i="7"/>
  <c r="BO66" i="7"/>
  <c r="BP66" i="7"/>
  <c r="BQ66" i="7"/>
  <c r="AW67" i="7"/>
  <c r="AX67" i="7"/>
  <c r="AY67" i="7" s="1"/>
  <c r="AZ67" i="7"/>
  <c r="BA67" i="7" s="1"/>
  <c r="BB67" i="7"/>
  <c r="BC67" i="7" s="1"/>
  <c r="BD67" i="7"/>
  <c r="BE67" i="7" s="1"/>
  <c r="BG67" i="7"/>
  <c r="BH67" i="7"/>
  <c r="BI67" i="7"/>
  <c r="BJ67" i="7"/>
  <c r="BK67" i="7"/>
  <c r="BL67" i="7"/>
  <c r="BN67" i="7"/>
  <c r="BO67" i="7"/>
  <c r="BP67" i="7"/>
  <c r="BQ67" i="7"/>
  <c r="AW68" i="7"/>
  <c r="AX68" i="7"/>
  <c r="AY68" i="7"/>
  <c r="AZ68" i="7"/>
  <c r="BA68" i="7"/>
  <c r="BB68" i="7"/>
  <c r="BC68" i="7"/>
  <c r="BD68" i="7"/>
  <c r="BE68" i="7"/>
  <c r="BF68" i="7"/>
  <c r="BG68" i="7"/>
  <c r="BH68" i="7"/>
  <c r="BI68" i="7"/>
  <c r="BJ68" i="7"/>
  <c r="BK68" i="7"/>
  <c r="BL68" i="7"/>
  <c r="BM68" i="7"/>
  <c r="BN68" i="7"/>
  <c r="BO68" i="7"/>
  <c r="BP68" i="7"/>
  <c r="BQ68" i="7"/>
  <c r="AW69" i="7"/>
  <c r="AX69" i="7"/>
  <c r="AY69" i="7" s="1"/>
  <c r="AZ69" i="7"/>
  <c r="BA69" i="7" s="1"/>
  <c r="BB69" i="7"/>
  <c r="BC69" i="7" s="1"/>
  <c r="BD69" i="7"/>
  <c r="BE69" i="7" s="1"/>
  <c r="BG69" i="7"/>
  <c r="BH69" i="7"/>
  <c r="BI69" i="7"/>
  <c r="BJ69" i="7"/>
  <c r="BK69" i="7"/>
  <c r="BL69" i="7"/>
  <c r="BN69" i="7"/>
  <c r="BO69" i="7"/>
  <c r="BP69" i="7"/>
  <c r="BQ69" i="7"/>
  <c r="AW70" i="7"/>
  <c r="AX70" i="7"/>
  <c r="AY70" i="7"/>
  <c r="AZ70" i="7"/>
  <c r="BA70" i="7"/>
  <c r="BB70" i="7"/>
  <c r="BC70" i="7"/>
  <c r="BD70" i="7"/>
  <c r="BE70" i="7"/>
  <c r="BF70" i="7"/>
  <c r="BG70" i="7"/>
  <c r="BI70" i="7"/>
  <c r="BJ70" i="7"/>
  <c r="BK70" i="7"/>
  <c r="BL70" i="7"/>
  <c r="BM70" i="7"/>
  <c r="BN70" i="7"/>
  <c r="BO70" i="7"/>
  <c r="BP70" i="7"/>
  <c r="BQ70" i="7"/>
  <c r="AW71" i="7"/>
  <c r="AX71" i="7"/>
  <c r="AY71" i="7" s="1"/>
  <c r="AZ71" i="7"/>
  <c r="BA71" i="7" s="1"/>
  <c r="BB71" i="7"/>
  <c r="BC71" i="7" s="1"/>
  <c r="BD71" i="7"/>
  <c r="BE71" i="7" s="1"/>
  <c r="BG71" i="7"/>
  <c r="BH71" i="7"/>
  <c r="BI71" i="7"/>
  <c r="BJ71" i="7"/>
  <c r="BK71" i="7"/>
  <c r="BL71" i="7"/>
  <c r="BN71" i="7"/>
  <c r="BO71" i="7"/>
  <c r="BP71" i="7"/>
  <c r="BQ71" i="7"/>
  <c r="AW72" i="7"/>
  <c r="AX72" i="7"/>
  <c r="AY72" i="7"/>
  <c r="AZ72" i="7"/>
  <c r="BA72" i="7"/>
  <c r="BB72" i="7"/>
  <c r="BC72" i="7"/>
  <c r="BD72" i="7"/>
  <c r="BE72" i="7"/>
  <c r="BF72" i="7"/>
  <c r="BG72" i="7"/>
  <c r="BH72" i="7"/>
  <c r="BI72" i="7"/>
  <c r="BJ72" i="7"/>
  <c r="BK72" i="7"/>
  <c r="BL72" i="7"/>
  <c r="BM72" i="7"/>
  <c r="BN72" i="7"/>
  <c r="BO72" i="7"/>
  <c r="BP72" i="7"/>
  <c r="BQ72" i="7"/>
  <c r="AX73" i="7"/>
  <c r="AY73" i="7" s="1"/>
  <c r="AZ73" i="7"/>
  <c r="BA73" i="7" s="1"/>
  <c r="BB73" i="7"/>
  <c r="BC73" i="7" s="1"/>
  <c r="BD73" i="7"/>
  <c r="BE73" i="7" s="1"/>
  <c r="BG73" i="7"/>
  <c r="BH73" i="7"/>
  <c r="BI73" i="7"/>
  <c r="BJ73" i="7"/>
  <c r="BK73" i="7"/>
  <c r="BL73" i="7"/>
  <c r="BM73" i="7"/>
  <c r="BN73" i="7"/>
  <c r="BO73" i="7"/>
  <c r="BP73" i="7"/>
  <c r="BQ73" i="7"/>
  <c r="AW74" i="7"/>
  <c r="AX74" i="7"/>
  <c r="AY74" i="7"/>
  <c r="AZ74" i="7"/>
  <c r="BA74" i="7"/>
  <c r="BB74" i="7"/>
  <c r="BC74" i="7"/>
  <c r="BD74" i="7"/>
  <c r="BE74" i="7"/>
  <c r="BF74" i="7"/>
  <c r="BG74" i="7"/>
  <c r="BH74" i="7"/>
  <c r="BI74" i="7"/>
  <c r="BJ74" i="7"/>
  <c r="BK74" i="7"/>
  <c r="BL74" i="7"/>
  <c r="BM74" i="7"/>
  <c r="BN74" i="7"/>
  <c r="BO74" i="7"/>
  <c r="BP74" i="7"/>
  <c r="BQ74" i="7"/>
  <c r="AX75" i="7"/>
  <c r="AY75" i="7" s="1"/>
  <c r="AZ75" i="7"/>
  <c r="BA75" i="7" s="1"/>
  <c r="BB75" i="7"/>
  <c r="BC75" i="7" s="1"/>
  <c r="BD75" i="7"/>
  <c r="BE75" i="7" s="1"/>
  <c r="BG75" i="7"/>
  <c r="BH75" i="7"/>
  <c r="BI75" i="7"/>
  <c r="BJ75" i="7"/>
  <c r="BK75" i="7"/>
  <c r="BL75" i="7"/>
  <c r="BN75" i="7"/>
  <c r="BO75" i="7"/>
  <c r="BP75" i="7"/>
  <c r="BQ75" i="7"/>
  <c r="AW76" i="7"/>
  <c r="AX76" i="7"/>
  <c r="AY76" i="7"/>
  <c r="AZ76" i="7"/>
  <c r="BA76" i="7"/>
  <c r="BB76" i="7"/>
  <c r="BC76" i="7"/>
  <c r="BD76" i="7"/>
  <c r="BE76" i="7"/>
  <c r="BF76" i="7"/>
  <c r="BG76" i="7"/>
  <c r="BI76" i="7"/>
  <c r="BJ76" i="7"/>
  <c r="BK76" i="7"/>
  <c r="BL76" i="7"/>
  <c r="BM76" i="7"/>
  <c r="BN76" i="7"/>
  <c r="BO76" i="7"/>
  <c r="BP76" i="7"/>
  <c r="BQ76" i="7"/>
  <c r="AW77" i="7"/>
  <c r="AX77" i="7"/>
  <c r="AY77" i="7" s="1"/>
  <c r="AZ77" i="7"/>
  <c r="BA77" i="7" s="1"/>
  <c r="BB77" i="7"/>
  <c r="BC77" i="7" s="1"/>
  <c r="BD77" i="7"/>
  <c r="BE77" i="7" s="1"/>
  <c r="BG77" i="7"/>
  <c r="BH77" i="7"/>
  <c r="BI77" i="7"/>
  <c r="BJ77" i="7"/>
  <c r="BK77" i="7"/>
  <c r="BL77" i="7"/>
  <c r="BM77" i="7"/>
  <c r="BN77" i="7"/>
  <c r="BO77" i="7"/>
  <c r="BP77" i="7"/>
  <c r="AW78" i="7"/>
  <c r="AX78" i="7"/>
  <c r="AY78" i="7"/>
  <c r="AZ78" i="7"/>
  <c r="BA78" i="7"/>
  <c r="BB78" i="7"/>
  <c r="BC78" i="7"/>
  <c r="BD78" i="7"/>
  <c r="BE78" i="7"/>
  <c r="BF78" i="7"/>
  <c r="BG78" i="7"/>
  <c r="BI78" i="7"/>
  <c r="BJ78" i="7"/>
  <c r="BK78" i="7"/>
  <c r="BL78" i="7"/>
  <c r="BM78" i="7"/>
  <c r="BN78" i="7"/>
  <c r="BO78" i="7"/>
  <c r="BP78" i="7"/>
  <c r="BQ78" i="7"/>
  <c r="AX79" i="7"/>
  <c r="AY79" i="7" s="1"/>
  <c r="AZ79" i="7"/>
  <c r="BA79" i="7" s="1"/>
  <c r="BB79" i="7"/>
  <c r="BC79" i="7" s="1"/>
  <c r="BD79" i="7"/>
  <c r="BE79" i="7" s="1"/>
  <c r="BG79" i="7"/>
  <c r="BH79" i="7"/>
  <c r="BI79" i="7"/>
  <c r="BJ79" i="7"/>
  <c r="BK79" i="7"/>
  <c r="BL79" i="7"/>
  <c r="BM79" i="7"/>
  <c r="BN79" i="7"/>
  <c r="BO79" i="7"/>
  <c r="BP79" i="7"/>
  <c r="BQ79" i="7"/>
  <c r="AW80" i="7"/>
  <c r="AX80" i="7"/>
  <c r="AY80" i="7"/>
  <c r="AZ80" i="7"/>
  <c r="BA80" i="7"/>
  <c r="BB80" i="7"/>
  <c r="BC80" i="7"/>
  <c r="BD80" i="7"/>
  <c r="BE80" i="7"/>
  <c r="BF80" i="7"/>
  <c r="BH80" i="7"/>
  <c r="BI80" i="7"/>
  <c r="BJ80" i="7"/>
  <c r="BK80" i="7"/>
  <c r="BL80" i="7"/>
  <c r="BM80" i="7"/>
  <c r="BN80" i="7"/>
  <c r="BO80" i="7"/>
  <c r="BP80" i="7"/>
  <c r="BQ80" i="7"/>
  <c r="AX81" i="7"/>
  <c r="AY81" i="7" s="1"/>
  <c r="AZ81" i="7"/>
  <c r="BA81" i="7" s="1"/>
  <c r="BB81" i="7"/>
  <c r="BC81" i="7" s="1"/>
  <c r="BD81" i="7"/>
  <c r="BE81" i="7" s="1"/>
  <c r="BG81" i="7"/>
  <c r="BH81" i="7"/>
  <c r="BI81" i="7"/>
  <c r="BJ81" i="7"/>
  <c r="BK81" i="7"/>
  <c r="BL81" i="7"/>
  <c r="BM81" i="7"/>
  <c r="BN81" i="7"/>
  <c r="BO81" i="7"/>
  <c r="BP81" i="7"/>
  <c r="AW82" i="7"/>
  <c r="AX82" i="7"/>
  <c r="AY82" i="7"/>
  <c r="AZ82" i="7"/>
  <c r="BA82" i="7"/>
  <c r="BB82" i="7"/>
  <c r="BC82" i="7"/>
  <c r="BD82" i="7"/>
  <c r="BE82" i="7"/>
  <c r="BF82" i="7"/>
  <c r="BG82" i="7"/>
  <c r="BH82" i="7"/>
  <c r="BI82" i="7"/>
  <c r="BJ82" i="7"/>
  <c r="BK82" i="7"/>
  <c r="BL82" i="7"/>
  <c r="BM82" i="7"/>
  <c r="BN82" i="7"/>
  <c r="BO82" i="7"/>
  <c r="BP82" i="7"/>
  <c r="BQ82" i="7"/>
  <c r="AW83" i="7"/>
  <c r="AX83" i="7"/>
  <c r="AY83" i="7" s="1"/>
  <c r="AZ83" i="7"/>
  <c r="BA83" i="7" s="1"/>
  <c r="BB83" i="7"/>
  <c r="BC83" i="7" s="1"/>
  <c r="BD83" i="7"/>
  <c r="BE83" i="7" s="1"/>
  <c r="BF83" i="7"/>
  <c r="BH83" i="7"/>
  <c r="BI83" i="7"/>
  <c r="BJ83" i="7"/>
  <c r="BK83" i="7"/>
  <c r="BL83" i="7"/>
  <c r="BM83" i="7"/>
  <c r="BN83" i="7"/>
  <c r="BO83" i="7"/>
  <c r="BP83" i="7"/>
  <c r="BQ83" i="7"/>
  <c r="AW84" i="7"/>
  <c r="AX84" i="7"/>
  <c r="AY84" i="7"/>
  <c r="AZ84" i="7"/>
  <c r="BA84" i="7"/>
  <c r="BB84" i="7"/>
  <c r="BC84" i="7"/>
  <c r="BD84" i="7"/>
  <c r="BE84" i="7"/>
  <c r="BF84" i="7"/>
  <c r="BG84" i="7"/>
  <c r="BI84" i="7"/>
  <c r="BJ84" i="7"/>
  <c r="BK84" i="7"/>
  <c r="BL84" i="7"/>
  <c r="BM84" i="7"/>
  <c r="BN84" i="7"/>
  <c r="BO84" i="7"/>
  <c r="BP84" i="7"/>
  <c r="BQ84" i="7"/>
  <c r="AW85" i="7"/>
  <c r="AX85" i="7"/>
  <c r="AY85" i="7" s="1"/>
  <c r="AZ85" i="7"/>
  <c r="BA85" i="7" s="1"/>
  <c r="BB85" i="7"/>
  <c r="BC85" i="7" s="1"/>
  <c r="BD85" i="7"/>
  <c r="BE85" i="7" s="1"/>
  <c r="BG85" i="7"/>
  <c r="BH85" i="7"/>
  <c r="BI85" i="7"/>
  <c r="BJ85" i="7"/>
  <c r="BK85" i="7"/>
  <c r="BL85" i="7"/>
  <c r="BN85" i="7"/>
  <c r="BO85" i="7"/>
  <c r="BP85" i="7"/>
  <c r="BQ85" i="7"/>
  <c r="AW86" i="7"/>
  <c r="AX86" i="7"/>
  <c r="AY86" i="7"/>
  <c r="AZ86" i="7"/>
  <c r="BA86" i="7"/>
  <c r="BB86" i="7"/>
  <c r="BC86" i="7"/>
  <c r="BD86" i="7"/>
  <c r="BE86" i="7"/>
  <c r="BF86" i="7"/>
  <c r="BG86" i="7"/>
  <c r="BH86" i="7"/>
  <c r="BI86" i="7"/>
  <c r="BJ86" i="7"/>
  <c r="BK86" i="7"/>
  <c r="BL86" i="7"/>
  <c r="BM86" i="7"/>
  <c r="BN86" i="7"/>
  <c r="BO86" i="7"/>
  <c r="BP86" i="7"/>
  <c r="BQ86" i="7"/>
  <c r="AX87" i="7"/>
  <c r="AY87" i="7" s="1"/>
  <c r="AZ87" i="7"/>
  <c r="BA87" i="7" s="1"/>
  <c r="BB87" i="7"/>
  <c r="BC87" i="7" s="1"/>
  <c r="BD87" i="7"/>
  <c r="BE87" i="7" s="1"/>
  <c r="BF87" i="7"/>
  <c r="BG87" i="7"/>
  <c r="BI87" i="7"/>
  <c r="BJ87" i="7"/>
  <c r="BK87" i="7"/>
  <c r="BL87" i="7"/>
  <c r="BN87" i="7"/>
  <c r="BO87" i="7"/>
  <c r="BP87" i="7"/>
  <c r="BQ87" i="7"/>
  <c r="AW88" i="7"/>
  <c r="AX88" i="7"/>
  <c r="AY88" i="7"/>
  <c r="AZ88" i="7"/>
  <c r="BA88" i="7"/>
  <c r="BB88" i="7"/>
  <c r="BC88" i="7"/>
  <c r="BD88" i="7"/>
  <c r="BE88" i="7"/>
  <c r="BF88" i="7"/>
  <c r="BG88" i="7"/>
  <c r="BH88" i="7"/>
  <c r="BI88" i="7"/>
  <c r="BJ88" i="7"/>
  <c r="BK88" i="7"/>
  <c r="BL88" i="7"/>
  <c r="BM88" i="7"/>
  <c r="BN88" i="7"/>
  <c r="BO88" i="7"/>
  <c r="BP88" i="7"/>
  <c r="BQ88" i="7"/>
  <c r="AX89" i="7"/>
  <c r="AY89" i="7" s="1"/>
  <c r="AZ89" i="7"/>
  <c r="BA89" i="7" s="1"/>
  <c r="BB89" i="7"/>
  <c r="BC89" i="7" s="1"/>
  <c r="BD89" i="7"/>
  <c r="BE89" i="7" s="1"/>
  <c r="BF89" i="7"/>
  <c r="BG89" i="7"/>
  <c r="BI89" i="7"/>
  <c r="BJ89" i="7"/>
  <c r="BK89" i="7"/>
  <c r="BL89" i="7"/>
  <c r="BM89" i="7"/>
  <c r="BN89" i="7"/>
  <c r="BO89" i="7"/>
  <c r="BP89" i="7"/>
  <c r="BQ89" i="7"/>
  <c r="AW90" i="7"/>
  <c r="AX90" i="7"/>
  <c r="AY90" i="7"/>
  <c r="AZ90" i="7"/>
  <c r="BA90" i="7"/>
  <c r="BB90" i="7"/>
  <c r="BC90" i="7"/>
  <c r="BD90" i="7"/>
  <c r="BE90" i="7"/>
  <c r="BF90" i="7"/>
  <c r="BG90" i="7"/>
  <c r="BH90" i="7"/>
  <c r="BI90" i="7"/>
  <c r="BJ90" i="7"/>
  <c r="BK90" i="7"/>
  <c r="BL90" i="7"/>
  <c r="BM90" i="7"/>
  <c r="BN90" i="7"/>
  <c r="BO90" i="7"/>
  <c r="BP90" i="7"/>
  <c r="BQ90" i="7"/>
  <c r="AX91" i="7"/>
  <c r="AY91" i="7" s="1"/>
  <c r="AZ91" i="7"/>
  <c r="BA91" i="7" s="1"/>
  <c r="BB91" i="7"/>
  <c r="BC91" i="7" s="1"/>
  <c r="BD91" i="7"/>
  <c r="BE91" i="7" s="1"/>
  <c r="BG91" i="7"/>
  <c r="BH91" i="7"/>
  <c r="BI91" i="7"/>
  <c r="BJ91" i="7"/>
  <c r="BK91" i="7"/>
  <c r="BL91" i="7"/>
  <c r="BM91" i="7"/>
  <c r="BN91" i="7"/>
  <c r="BO91" i="7"/>
  <c r="BP91" i="7"/>
  <c r="BQ91" i="7"/>
  <c r="AW92" i="7"/>
  <c r="AX92" i="7"/>
  <c r="AY92" i="7"/>
  <c r="AZ92" i="7"/>
  <c r="BA92" i="7"/>
  <c r="BB92" i="7"/>
  <c r="BC92" i="7"/>
  <c r="BD92" i="7"/>
  <c r="BE92" i="7"/>
  <c r="BF92" i="7"/>
  <c r="BG92" i="7"/>
  <c r="BH92" i="7"/>
  <c r="BI92" i="7"/>
  <c r="BJ92" i="7"/>
  <c r="BK92" i="7"/>
  <c r="BL92" i="7"/>
  <c r="BM92" i="7"/>
  <c r="BN92" i="7"/>
  <c r="BO92" i="7"/>
  <c r="BP92" i="7"/>
  <c r="BQ92" i="7"/>
  <c r="AW93" i="7"/>
  <c r="AX93" i="7"/>
  <c r="AY93" i="7" s="1"/>
  <c r="AZ93" i="7"/>
  <c r="BA93" i="7" s="1"/>
  <c r="BB93" i="7"/>
  <c r="BC93" i="7" s="1"/>
  <c r="BD93" i="7"/>
  <c r="BE93" i="7" s="1"/>
  <c r="BG93" i="7"/>
  <c r="BH93" i="7"/>
  <c r="BI93" i="7"/>
  <c r="BJ93" i="7"/>
  <c r="BK93" i="7"/>
  <c r="BL93" i="7"/>
  <c r="BN93" i="7"/>
  <c r="BO93" i="7"/>
  <c r="BP93" i="7"/>
  <c r="BQ93" i="7"/>
  <c r="AW94" i="7"/>
  <c r="AX94" i="7"/>
  <c r="AY94" i="7"/>
  <c r="AZ94" i="7"/>
  <c r="BA94" i="7"/>
  <c r="BB94" i="7"/>
  <c r="BC94" i="7"/>
  <c r="BD94" i="7"/>
  <c r="BE94" i="7"/>
  <c r="BF94" i="7"/>
  <c r="BG94" i="7"/>
  <c r="BH94" i="7"/>
  <c r="BI94" i="7"/>
  <c r="BJ94" i="7"/>
  <c r="BK94" i="7"/>
  <c r="BL94" i="7"/>
  <c r="BM94" i="7"/>
  <c r="BN94" i="7"/>
  <c r="BO94" i="7"/>
  <c r="BP94" i="7"/>
  <c r="BQ94" i="7"/>
  <c r="AW95" i="7"/>
  <c r="AX95" i="7"/>
  <c r="AY95" i="7" s="1"/>
  <c r="AZ95" i="7"/>
  <c r="BA95" i="7" s="1"/>
  <c r="BB95" i="7"/>
  <c r="BC95" i="7" s="1"/>
  <c r="BD95" i="7"/>
  <c r="BE95" i="7" s="1"/>
  <c r="BG95" i="7"/>
  <c r="BH95" i="7"/>
  <c r="BI95" i="7"/>
  <c r="BJ95" i="7"/>
  <c r="BK95" i="7"/>
  <c r="BL95" i="7"/>
  <c r="BN95" i="7"/>
  <c r="BO95" i="7"/>
  <c r="BP95" i="7"/>
  <c r="BQ95" i="7"/>
  <c r="AW96" i="7"/>
  <c r="AX96" i="7"/>
  <c r="AY96" i="7"/>
  <c r="AZ96" i="7"/>
  <c r="BA96" i="7"/>
  <c r="BB96" i="7"/>
  <c r="BC96" i="7"/>
  <c r="BD96" i="7"/>
  <c r="BE96" i="7"/>
  <c r="BF96" i="7"/>
  <c r="BG96" i="7"/>
  <c r="BH96" i="7"/>
  <c r="BI96" i="7"/>
  <c r="BJ96" i="7"/>
  <c r="BK96" i="7"/>
  <c r="BL96" i="7"/>
  <c r="BM96" i="7"/>
  <c r="BN96" i="7"/>
  <c r="BO96" i="7"/>
  <c r="BP96" i="7"/>
  <c r="BQ96" i="7"/>
  <c r="AW97" i="7"/>
  <c r="AX97" i="7"/>
  <c r="AY97" i="7" s="1"/>
  <c r="AZ97" i="7"/>
  <c r="BA97" i="7" s="1"/>
  <c r="BB97" i="7"/>
  <c r="BC97" i="7" s="1"/>
  <c r="BD97" i="7"/>
  <c r="BE97" i="7" s="1"/>
  <c r="BG97" i="7"/>
  <c r="BH97" i="7"/>
  <c r="BI97" i="7"/>
  <c r="BJ97" i="7"/>
  <c r="BK97" i="7"/>
  <c r="BL97" i="7"/>
  <c r="BM97" i="7"/>
  <c r="BN97" i="7"/>
  <c r="BO97" i="7"/>
  <c r="BP97" i="7"/>
  <c r="BQ97" i="7"/>
  <c r="AW98" i="7"/>
  <c r="AX98" i="7"/>
  <c r="AY98" i="7"/>
  <c r="AZ98" i="7"/>
  <c r="BA98" i="7"/>
  <c r="BB98" i="7"/>
  <c r="BC98" i="7"/>
  <c r="BD98" i="7"/>
  <c r="BE98" i="7"/>
  <c r="BF98" i="7"/>
  <c r="BG98" i="7"/>
  <c r="BH98" i="7"/>
  <c r="BI98" i="7"/>
  <c r="BJ98" i="7"/>
  <c r="BK98" i="7"/>
  <c r="BL98" i="7"/>
  <c r="BM98" i="7"/>
  <c r="BN98" i="7"/>
  <c r="BO98" i="7"/>
  <c r="BP98" i="7"/>
  <c r="BQ98" i="7"/>
  <c r="AW99" i="7"/>
  <c r="AX99" i="7"/>
  <c r="AY99" i="7" s="1"/>
  <c r="AZ99" i="7"/>
  <c r="BA99" i="7" s="1"/>
  <c r="BB99" i="7"/>
  <c r="BC99" i="7" s="1"/>
  <c r="BD99" i="7"/>
  <c r="BE99" i="7" s="1"/>
  <c r="BG99" i="7"/>
  <c r="BH99" i="7"/>
  <c r="BI99" i="7"/>
  <c r="BJ99" i="7"/>
  <c r="BK99" i="7"/>
  <c r="BL99" i="7"/>
  <c r="BM99" i="7"/>
  <c r="BN99" i="7"/>
  <c r="BO99" i="7"/>
  <c r="BP99" i="7"/>
  <c r="BQ99" i="7"/>
  <c r="AW100" i="7"/>
  <c r="AX100" i="7"/>
  <c r="AY100" i="7"/>
  <c r="AZ100" i="7"/>
  <c r="BA100" i="7"/>
  <c r="BB100" i="7"/>
  <c r="BC100" i="7"/>
  <c r="BD100" i="7"/>
  <c r="BE100" i="7"/>
  <c r="BF100" i="7"/>
  <c r="BG100" i="7"/>
  <c r="BH100" i="7"/>
  <c r="BI100" i="7"/>
  <c r="BJ100" i="7"/>
  <c r="BK100" i="7"/>
  <c r="BL100" i="7"/>
  <c r="BM100" i="7"/>
  <c r="BN100" i="7"/>
  <c r="BO100" i="7"/>
  <c r="BP100" i="7"/>
  <c r="BQ100" i="7"/>
  <c r="AW101" i="7"/>
  <c r="AX101" i="7"/>
  <c r="AY101" i="7" s="1"/>
  <c r="AZ101" i="7"/>
  <c r="BA101" i="7" s="1"/>
  <c r="BB101" i="7"/>
  <c r="BC101" i="7" s="1"/>
  <c r="BD101" i="7"/>
  <c r="BE101" i="7" s="1"/>
  <c r="BF101" i="7"/>
  <c r="BH101" i="7"/>
  <c r="BI101" i="7"/>
  <c r="BJ101" i="7"/>
  <c r="BK101" i="7"/>
  <c r="BL101" i="7"/>
  <c r="BM101" i="7"/>
  <c r="BN101" i="7"/>
  <c r="BO101" i="7"/>
  <c r="BP101" i="7"/>
  <c r="BQ101" i="7"/>
  <c r="AW102" i="7"/>
  <c r="AX102" i="7"/>
  <c r="AY102" i="7"/>
  <c r="AZ102" i="7"/>
  <c r="BA102" i="7"/>
  <c r="BB102" i="7"/>
  <c r="BC102" i="7"/>
  <c r="BD102" i="7"/>
  <c r="BE102" i="7"/>
  <c r="BF102" i="7"/>
  <c r="BG102" i="7"/>
  <c r="BH102" i="7"/>
  <c r="BI102" i="7"/>
  <c r="BJ102" i="7"/>
  <c r="BK102" i="7"/>
  <c r="BL102" i="7"/>
  <c r="BM102" i="7"/>
  <c r="BN102" i="7"/>
  <c r="BO102" i="7"/>
  <c r="BP102" i="7"/>
  <c r="BQ102" i="7"/>
  <c r="AW103" i="7"/>
  <c r="AX103" i="7"/>
  <c r="AY103" i="7" s="1"/>
  <c r="AZ103" i="7"/>
  <c r="BA103" i="7" s="1"/>
  <c r="BB103" i="7"/>
  <c r="BC103" i="7" s="1"/>
  <c r="BD103" i="7"/>
  <c r="BE103" i="7" s="1"/>
  <c r="BF103" i="7"/>
  <c r="BH103" i="7"/>
  <c r="BI103" i="7"/>
  <c r="BJ103" i="7"/>
  <c r="BK103" i="7"/>
  <c r="BL103" i="7"/>
  <c r="BM103" i="7"/>
  <c r="BN103" i="7"/>
  <c r="BO103" i="7"/>
  <c r="BP103" i="7"/>
  <c r="BQ103" i="7"/>
  <c r="AW104" i="7"/>
  <c r="AX104" i="7"/>
  <c r="AY104" i="7"/>
  <c r="AZ104" i="7"/>
  <c r="BA104" i="7"/>
  <c r="BB104" i="7"/>
  <c r="BC104" i="7"/>
  <c r="BD104" i="7"/>
  <c r="BE104" i="7"/>
  <c r="BF104" i="7"/>
  <c r="BG104" i="7"/>
  <c r="BH104" i="7"/>
  <c r="BI104" i="7"/>
  <c r="BJ104" i="7"/>
  <c r="BK104" i="7"/>
  <c r="BL104" i="7"/>
  <c r="BM104" i="7"/>
  <c r="BN104" i="7"/>
  <c r="BO104" i="7"/>
  <c r="BP104" i="7"/>
  <c r="BQ104" i="7"/>
  <c r="AX105" i="7"/>
  <c r="AY105" i="7" s="1"/>
  <c r="AZ105" i="7"/>
  <c r="BA105" i="7" s="1"/>
  <c r="BB105" i="7"/>
  <c r="BC105" i="7" s="1"/>
  <c r="BD105" i="7"/>
  <c r="BE105" i="7" s="1"/>
  <c r="BG105" i="7"/>
  <c r="BH105" i="7"/>
  <c r="BI105" i="7"/>
  <c r="BJ105" i="7"/>
  <c r="BK105" i="7"/>
  <c r="BL105" i="7"/>
  <c r="BM105" i="7"/>
  <c r="BN105" i="7"/>
  <c r="BO105" i="7"/>
  <c r="BP105" i="7"/>
  <c r="BQ105" i="7"/>
  <c r="AW106" i="7"/>
  <c r="AX106" i="7"/>
  <c r="AY106" i="7"/>
  <c r="AZ106" i="7"/>
  <c r="BA106" i="7"/>
  <c r="BB106" i="7"/>
  <c r="BC106" i="7"/>
  <c r="BD106" i="7"/>
  <c r="BE106" i="7"/>
  <c r="BF106" i="7"/>
  <c r="BG106" i="7"/>
  <c r="BH106" i="7"/>
  <c r="BI106" i="7"/>
  <c r="BJ106" i="7"/>
  <c r="BK106" i="7"/>
  <c r="BL106" i="7"/>
  <c r="BM106" i="7"/>
  <c r="BN106" i="7"/>
  <c r="BO106" i="7"/>
  <c r="BP106" i="7"/>
  <c r="BQ106" i="7"/>
  <c r="AW107" i="7"/>
  <c r="AX107" i="7"/>
  <c r="AY107" i="7"/>
  <c r="AZ107" i="7"/>
  <c r="BA107" i="7"/>
  <c r="BB107" i="7"/>
  <c r="BC107" i="7"/>
  <c r="BD107" i="7"/>
  <c r="BE107" i="7"/>
  <c r="BF107" i="7"/>
  <c r="BH107" i="7"/>
  <c r="BI107" i="7"/>
  <c r="BJ107" i="7"/>
  <c r="BK107" i="7"/>
  <c r="BL107" i="7"/>
  <c r="BM107" i="7"/>
  <c r="BN107" i="7"/>
  <c r="BO107" i="7"/>
  <c r="BP107" i="7"/>
  <c r="BQ107" i="7"/>
  <c r="AW108" i="7"/>
  <c r="AX108" i="7"/>
  <c r="AY108" i="7"/>
  <c r="AZ108" i="7"/>
  <c r="BA108" i="7"/>
  <c r="BB108" i="7"/>
  <c r="BC108" i="7"/>
  <c r="BD108" i="7"/>
  <c r="BE108" i="7"/>
  <c r="BF108" i="7"/>
  <c r="BG108" i="7"/>
  <c r="BH108" i="7"/>
  <c r="BI108" i="7"/>
  <c r="BJ108" i="7"/>
  <c r="BK108" i="7"/>
  <c r="BL108" i="7"/>
  <c r="BM108" i="7"/>
  <c r="BN108" i="7"/>
  <c r="BO108" i="7"/>
  <c r="BP108" i="7"/>
  <c r="BQ108" i="7"/>
  <c r="AX109" i="7"/>
  <c r="AY109" i="7" s="1"/>
  <c r="AZ109" i="7"/>
  <c r="BA109" i="7" s="1"/>
  <c r="BB109" i="7"/>
  <c r="BC109" i="7" s="1"/>
  <c r="BD109" i="7"/>
  <c r="BE109" i="7" s="1"/>
  <c r="BG109" i="7"/>
  <c r="BH109" i="7"/>
  <c r="BI109" i="7"/>
  <c r="BJ109" i="7"/>
  <c r="BK109" i="7"/>
  <c r="BL109" i="7"/>
  <c r="BN109" i="7"/>
  <c r="BO109" i="7"/>
  <c r="BP109" i="7"/>
  <c r="BQ109" i="7"/>
  <c r="AW110" i="7"/>
  <c r="AX110" i="7"/>
  <c r="AY110" i="7"/>
  <c r="AZ110" i="7"/>
  <c r="BA110" i="7"/>
  <c r="BB110" i="7"/>
  <c r="BC110" i="7"/>
  <c r="BD110" i="7"/>
  <c r="BE110" i="7"/>
  <c r="BF110" i="7"/>
  <c r="BG110" i="7"/>
  <c r="BI110" i="7"/>
  <c r="BJ110" i="7"/>
  <c r="BK110" i="7"/>
  <c r="BL110" i="7"/>
  <c r="BM110" i="7"/>
  <c r="BN110" i="7"/>
  <c r="BO110" i="7"/>
  <c r="BP110" i="7"/>
  <c r="BQ110" i="7"/>
  <c r="AW111" i="7"/>
  <c r="AX111" i="7"/>
  <c r="AY111" i="7"/>
  <c r="AZ111" i="7"/>
  <c r="BA111" i="7"/>
  <c r="BB111" i="7"/>
  <c r="BC111" i="7"/>
  <c r="BD111" i="7"/>
  <c r="BE111" i="7"/>
  <c r="BG111" i="7"/>
  <c r="BH111" i="7"/>
  <c r="BI111" i="7"/>
  <c r="BJ111" i="7"/>
  <c r="BK111" i="7"/>
  <c r="BL111" i="7"/>
  <c r="BM111" i="7"/>
  <c r="BN111" i="7"/>
  <c r="BO111" i="7"/>
  <c r="BP111" i="7"/>
  <c r="BQ111" i="7"/>
  <c r="AW112" i="7"/>
  <c r="AX112" i="7"/>
  <c r="AY112" i="7"/>
  <c r="AZ112" i="7"/>
  <c r="BA112" i="7"/>
  <c r="BB112" i="7"/>
  <c r="BC112" i="7"/>
  <c r="BD112" i="7"/>
  <c r="BE112" i="7"/>
  <c r="BF112" i="7"/>
  <c r="BG112" i="7"/>
  <c r="BI112" i="7"/>
  <c r="BJ112" i="7"/>
  <c r="BK112" i="7"/>
  <c r="BL112" i="7"/>
  <c r="BM112" i="7"/>
  <c r="BN112" i="7"/>
  <c r="BO112" i="7"/>
  <c r="BP112" i="7"/>
  <c r="BQ112" i="7"/>
  <c r="AW113" i="7"/>
  <c r="AX113" i="7"/>
  <c r="AY113" i="7" s="1"/>
  <c r="AZ113" i="7"/>
  <c r="BA113" i="7" s="1"/>
  <c r="BB113" i="7"/>
  <c r="BC113" i="7" s="1"/>
  <c r="BD113" i="7"/>
  <c r="BE113" i="7" s="1"/>
  <c r="BF113" i="7"/>
  <c r="BH113" i="7"/>
  <c r="BI113" i="7"/>
  <c r="BJ113" i="7"/>
  <c r="BK113" i="7"/>
  <c r="BL113" i="7"/>
  <c r="BM113" i="7"/>
  <c r="BN113" i="7"/>
  <c r="BO113" i="7"/>
  <c r="BP113" i="7"/>
  <c r="AW114" i="7"/>
  <c r="AX114" i="7"/>
  <c r="AY114" i="7"/>
  <c r="AZ114" i="7"/>
  <c r="BA114" i="7"/>
  <c r="BB114" i="7"/>
  <c r="BC114" i="7"/>
  <c r="BD114" i="7"/>
  <c r="BE114" i="7"/>
  <c r="BF114" i="7"/>
  <c r="BG114" i="7"/>
  <c r="BH114" i="7"/>
  <c r="BI114" i="7"/>
  <c r="BJ114" i="7"/>
  <c r="BK114" i="7"/>
  <c r="BL114" i="7"/>
  <c r="BM114" i="7"/>
  <c r="BN114" i="7"/>
  <c r="BO114" i="7"/>
  <c r="BP114" i="7"/>
  <c r="BQ114" i="7"/>
  <c r="AW115" i="7"/>
  <c r="AX115" i="7"/>
  <c r="AY115" i="7" s="1"/>
  <c r="AZ115" i="7"/>
  <c r="BA115" i="7" s="1"/>
  <c r="BB115" i="7"/>
  <c r="BC115" i="7" s="1"/>
  <c r="BD115" i="7"/>
  <c r="BE115" i="7" s="1"/>
  <c r="BF115" i="7"/>
  <c r="BH115" i="7"/>
  <c r="BI115" i="7"/>
  <c r="BJ115" i="7"/>
  <c r="BK115" i="7"/>
  <c r="BL115" i="7"/>
  <c r="BM115" i="7"/>
  <c r="BN115" i="7"/>
  <c r="BO115" i="7"/>
  <c r="BP115" i="7"/>
  <c r="BQ115" i="7"/>
  <c r="AW116" i="7"/>
  <c r="AX116" i="7"/>
  <c r="AY116" i="7"/>
  <c r="AZ116" i="7"/>
  <c r="BA116" i="7"/>
  <c r="BB116" i="7"/>
  <c r="BC116" i="7"/>
  <c r="BD116" i="7"/>
  <c r="BE116" i="7"/>
  <c r="BF116" i="7"/>
  <c r="BG116" i="7"/>
  <c r="BI116" i="7"/>
  <c r="BJ116" i="7"/>
  <c r="BK116" i="7"/>
  <c r="BL116" i="7"/>
  <c r="BM116" i="7"/>
  <c r="BN116" i="7"/>
  <c r="BO116" i="7"/>
  <c r="BP116" i="7"/>
  <c r="BQ116" i="7"/>
  <c r="AW117" i="7"/>
  <c r="AX117" i="7"/>
  <c r="AY117" i="7"/>
  <c r="AZ117" i="7"/>
  <c r="BA117" i="7"/>
  <c r="BB117" i="7"/>
  <c r="BC117" i="7"/>
  <c r="BD117" i="7"/>
  <c r="BE117" i="7"/>
  <c r="BG117" i="7"/>
  <c r="BH117" i="7"/>
  <c r="BI117" i="7"/>
  <c r="BJ117" i="7"/>
  <c r="BK117" i="7"/>
  <c r="BL117" i="7"/>
  <c r="BN117" i="7"/>
  <c r="BO117" i="7"/>
  <c r="BP117" i="7"/>
  <c r="BQ117" i="7"/>
  <c r="AW118" i="7"/>
  <c r="AX118" i="7"/>
  <c r="AY118" i="7"/>
  <c r="AZ118" i="7"/>
  <c r="BA118" i="7"/>
  <c r="BB118" i="7"/>
  <c r="BC118" i="7"/>
  <c r="BD118" i="7"/>
  <c r="BE118" i="7"/>
  <c r="BF118" i="7"/>
  <c r="BG118" i="7"/>
  <c r="BH118" i="7"/>
  <c r="BI118" i="7"/>
  <c r="BJ118" i="7"/>
  <c r="BK118" i="7"/>
  <c r="BL118" i="7"/>
  <c r="BM118" i="7"/>
  <c r="BN118" i="7"/>
  <c r="BO118" i="7"/>
  <c r="BP118" i="7"/>
  <c r="BQ118" i="7"/>
  <c r="AW119" i="7"/>
  <c r="AX119" i="7"/>
  <c r="AY119" i="7" s="1"/>
  <c r="AZ119" i="7"/>
  <c r="BA119" i="7" s="1"/>
  <c r="BB119" i="7"/>
  <c r="BC119" i="7" s="1"/>
  <c r="BD119" i="7"/>
  <c r="BE119" i="7" s="1"/>
  <c r="BG119" i="7"/>
  <c r="BH119" i="7"/>
  <c r="BI119" i="7"/>
  <c r="BJ119" i="7"/>
  <c r="BK119" i="7"/>
  <c r="BL119" i="7"/>
  <c r="BN119" i="7"/>
  <c r="BO119" i="7"/>
  <c r="BP119" i="7"/>
  <c r="BQ119" i="7"/>
  <c r="AW120" i="7"/>
  <c r="AX120" i="7"/>
  <c r="AY120" i="7"/>
  <c r="AZ120" i="7"/>
  <c r="BA120" i="7"/>
  <c r="BB120" i="7"/>
  <c r="BC120" i="7"/>
  <c r="BD120" i="7"/>
  <c r="BE120" i="7"/>
  <c r="BF120" i="7"/>
  <c r="BG120" i="7"/>
  <c r="BI120" i="7"/>
  <c r="BJ120" i="7"/>
  <c r="BK120" i="7"/>
  <c r="BL120" i="7"/>
  <c r="BM120" i="7"/>
  <c r="BN120" i="7"/>
  <c r="BO120" i="7"/>
  <c r="BP120" i="7"/>
  <c r="BQ120" i="7"/>
  <c r="AX121" i="7"/>
  <c r="AY121" i="7" s="1"/>
  <c r="AZ121" i="7"/>
  <c r="BA121" i="7" s="1"/>
  <c r="BB121" i="7"/>
  <c r="BC121" i="7" s="1"/>
  <c r="BD121" i="7"/>
  <c r="BE121" i="7" s="1"/>
  <c r="BG121" i="7"/>
  <c r="BH121" i="7"/>
  <c r="BI121" i="7"/>
  <c r="BJ121" i="7"/>
  <c r="BK121" i="7"/>
  <c r="BL121" i="7"/>
  <c r="BM121" i="7"/>
  <c r="BN121" i="7"/>
  <c r="BO121" i="7"/>
  <c r="BP121" i="7"/>
  <c r="BQ121" i="7"/>
  <c r="AW122" i="7"/>
  <c r="AX122" i="7"/>
  <c r="AY122" i="7"/>
  <c r="AZ122" i="7"/>
  <c r="BA122" i="7"/>
  <c r="BB122" i="7"/>
  <c r="BC122" i="7"/>
  <c r="BD122" i="7"/>
  <c r="BE122" i="7"/>
  <c r="BF122" i="7"/>
  <c r="BG122" i="7"/>
  <c r="BI122" i="7"/>
  <c r="BJ122" i="7"/>
  <c r="BK122" i="7"/>
  <c r="BL122" i="7"/>
  <c r="BM122" i="7"/>
  <c r="BN122" i="7"/>
  <c r="BO122" i="7"/>
  <c r="BP122" i="7"/>
  <c r="BQ122" i="7"/>
  <c r="AX123" i="7"/>
  <c r="AY123" i="7" s="1"/>
  <c r="AZ123" i="7"/>
  <c r="BA123" i="7" s="1"/>
  <c r="BB123" i="7"/>
  <c r="BC123" i="7" s="1"/>
  <c r="BD123" i="7"/>
  <c r="BE123" i="7" s="1"/>
  <c r="BG123" i="7"/>
  <c r="BH123" i="7"/>
  <c r="BI123" i="7"/>
  <c r="BJ123" i="7"/>
  <c r="BK123" i="7"/>
  <c r="BL123" i="7"/>
  <c r="BN123" i="7"/>
  <c r="BO123" i="7"/>
  <c r="BP123" i="7"/>
  <c r="BQ123" i="7"/>
  <c r="AW124" i="7"/>
  <c r="AX124" i="7"/>
  <c r="AY124" i="7"/>
  <c r="AZ124" i="7"/>
  <c r="BA124" i="7"/>
  <c r="BB124" i="7"/>
  <c r="BC124" i="7"/>
  <c r="BD124" i="7"/>
  <c r="BE124" i="7"/>
  <c r="BF124" i="7"/>
  <c r="BG124" i="7"/>
  <c r="BH124" i="7"/>
  <c r="BI124" i="7"/>
  <c r="BJ124" i="7"/>
  <c r="BK124" i="7"/>
  <c r="BL124" i="7"/>
  <c r="BM124" i="7"/>
  <c r="BN124" i="7"/>
  <c r="BO124" i="7"/>
  <c r="BP124" i="7"/>
  <c r="BQ124" i="7"/>
  <c r="AX125" i="7"/>
  <c r="AY125" i="7" s="1"/>
  <c r="AZ125" i="7"/>
  <c r="BA125" i="7" s="1"/>
  <c r="BB125" i="7"/>
  <c r="BC125" i="7" s="1"/>
  <c r="BD125" i="7"/>
  <c r="BE125" i="7" s="1"/>
  <c r="BG125" i="7"/>
  <c r="BH125" i="7"/>
  <c r="BI125" i="7"/>
  <c r="BJ125" i="7"/>
  <c r="BK125" i="7"/>
  <c r="BL125" i="7"/>
  <c r="BN125" i="7"/>
  <c r="BO125" i="7"/>
  <c r="BP125" i="7"/>
  <c r="BQ125" i="7"/>
  <c r="AW126" i="7"/>
  <c r="AX126" i="7"/>
  <c r="AY126" i="7"/>
  <c r="AZ126" i="7"/>
  <c r="BA126" i="7"/>
  <c r="BB126" i="7"/>
  <c r="BC126" i="7"/>
  <c r="BD126" i="7"/>
  <c r="BE126" i="7"/>
  <c r="BF126" i="7"/>
  <c r="BG126" i="7"/>
  <c r="BH126" i="7"/>
  <c r="BI126" i="7"/>
  <c r="BJ126" i="7"/>
  <c r="BK126" i="7"/>
  <c r="BL126" i="7"/>
  <c r="BM126" i="7"/>
  <c r="BN126" i="7"/>
  <c r="BO126" i="7"/>
  <c r="BP126" i="7"/>
  <c r="BQ126" i="7"/>
  <c r="AX127" i="7"/>
  <c r="AY127" i="7" s="1"/>
  <c r="AZ127" i="7"/>
  <c r="BA127" i="7" s="1"/>
  <c r="BB127" i="7"/>
  <c r="BC127" i="7" s="1"/>
  <c r="BD127" i="7"/>
  <c r="BE127" i="7" s="1"/>
  <c r="BG127" i="7"/>
  <c r="BH127" i="7"/>
  <c r="BI127" i="7"/>
  <c r="BJ127" i="7"/>
  <c r="BK127" i="7"/>
  <c r="BL127" i="7"/>
  <c r="BM127" i="7"/>
  <c r="BN127" i="7"/>
  <c r="BO127" i="7"/>
  <c r="BP127" i="7"/>
  <c r="BQ127" i="7"/>
  <c r="AW128" i="7"/>
  <c r="AX128" i="7"/>
  <c r="AY128" i="7"/>
  <c r="AZ128" i="7"/>
  <c r="BA128" i="7"/>
  <c r="BB128" i="7"/>
  <c r="BC128" i="7"/>
  <c r="BD128" i="7"/>
  <c r="BE128" i="7"/>
  <c r="BF128" i="7"/>
  <c r="BG128" i="7"/>
  <c r="BH128" i="7"/>
  <c r="BI128" i="7"/>
  <c r="BJ128" i="7"/>
  <c r="BK128" i="7"/>
  <c r="BL128" i="7"/>
  <c r="BM128" i="7"/>
  <c r="BN128" i="7"/>
  <c r="BO128" i="7"/>
  <c r="BP128" i="7"/>
  <c r="BQ128" i="7"/>
  <c r="AX129" i="7"/>
  <c r="AY129" i="7" s="1"/>
  <c r="AZ129" i="7"/>
  <c r="BA129" i="7" s="1"/>
  <c r="BB129" i="7"/>
  <c r="BC129" i="7" s="1"/>
  <c r="BD129" i="7"/>
  <c r="BE129" i="7" s="1"/>
  <c r="BG129" i="7"/>
  <c r="BH129" i="7"/>
  <c r="BI129" i="7"/>
  <c r="BJ129" i="7"/>
  <c r="BK129" i="7"/>
  <c r="BL129" i="7"/>
  <c r="BN129" i="7"/>
  <c r="BO129" i="7"/>
  <c r="BP129" i="7"/>
  <c r="BQ129" i="7"/>
  <c r="AW130" i="7"/>
  <c r="AX130" i="7"/>
  <c r="AY130" i="7"/>
  <c r="AZ130" i="7"/>
  <c r="BA130" i="7"/>
  <c r="BB130" i="7"/>
  <c r="BC130" i="7"/>
  <c r="BD130" i="7"/>
  <c r="BE130" i="7"/>
  <c r="BF130" i="7"/>
  <c r="BG130" i="7"/>
  <c r="BH130" i="7"/>
  <c r="BI130" i="7"/>
  <c r="BJ130" i="7"/>
  <c r="BK130" i="7"/>
  <c r="BL130" i="7"/>
  <c r="BM130" i="7"/>
  <c r="BN130" i="7"/>
  <c r="BO130" i="7"/>
  <c r="BP130" i="7"/>
  <c r="BQ130" i="7"/>
  <c r="AX131" i="7"/>
  <c r="AY131" i="7" s="1"/>
  <c r="AZ131" i="7"/>
  <c r="BA131" i="7" s="1"/>
  <c r="BB131" i="7"/>
  <c r="BC131" i="7" s="1"/>
  <c r="BD131" i="7"/>
  <c r="BE131" i="7" s="1"/>
  <c r="BG131" i="7"/>
  <c r="BH131" i="7"/>
  <c r="BI131" i="7"/>
  <c r="BJ131" i="7"/>
  <c r="BK131" i="7"/>
  <c r="BL131" i="7"/>
  <c r="BN131" i="7"/>
  <c r="BO131" i="7"/>
  <c r="BP131" i="7"/>
  <c r="AW132" i="7"/>
  <c r="AX132" i="7"/>
  <c r="AY132" i="7"/>
  <c r="AZ132" i="7"/>
  <c r="BA132" i="7"/>
  <c r="BB132" i="7"/>
  <c r="BC132" i="7"/>
  <c r="BD132" i="7"/>
  <c r="BE132" i="7"/>
  <c r="BF132" i="7"/>
  <c r="BG132" i="7"/>
  <c r="BI132" i="7"/>
  <c r="BJ132" i="7"/>
  <c r="BK132" i="7"/>
  <c r="BL132" i="7"/>
  <c r="BM132" i="7"/>
  <c r="BN132" i="7"/>
  <c r="BO132" i="7"/>
  <c r="BP132" i="7"/>
  <c r="BQ132" i="7"/>
  <c r="AX133" i="7"/>
  <c r="AY133" i="7" s="1"/>
  <c r="AZ133" i="7"/>
  <c r="BA133" i="7" s="1"/>
  <c r="BB133" i="7"/>
  <c r="BC133" i="7" s="1"/>
  <c r="BD133" i="7"/>
  <c r="BE133" i="7" s="1"/>
  <c r="BG133" i="7"/>
  <c r="BH133" i="7"/>
  <c r="BI133" i="7"/>
  <c r="BJ133" i="7"/>
  <c r="BK133" i="7"/>
  <c r="BL133" i="7"/>
  <c r="BM133" i="7"/>
  <c r="BN133" i="7"/>
  <c r="BO133" i="7"/>
  <c r="BP133" i="7"/>
  <c r="BQ133" i="7"/>
  <c r="AW134" i="7"/>
  <c r="AX134" i="7"/>
  <c r="AY134" i="7"/>
  <c r="AZ134" i="7"/>
  <c r="BA134" i="7"/>
  <c r="BB134" i="7"/>
  <c r="BC134" i="7"/>
  <c r="BD134" i="7"/>
  <c r="BE134" i="7"/>
  <c r="BF134" i="7"/>
  <c r="BG134" i="7"/>
  <c r="BH134" i="7"/>
  <c r="BI134" i="7"/>
  <c r="BJ134" i="7"/>
  <c r="BK134" i="7"/>
  <c r="BL134" i="7"/>
  <c r="BM134" i="7"/>
  <c r="BN134" i="7"/>
  <c r="BO134" i="7"/>
  <c r="BP134" i="7"/>
  <c r="BQ134" i="7"/>
  <c r="AX135" i="7"/>
  <c r="AY135" i="7" s="1"/>
  <c r="AZ135" i="7"/>
  <c r="BA135" i="7" s="1"/>
  <c r="BB135" i="7"/>
  <c r="BC135" i="7" s="1"/>
  <c r="BD135" i="7"/>
  <c r="BE135" i="7" s="1"/>
  <c r="BG135" i="7"/>
  <c r="BH135" i="7"/>
  <c r="BI135" i="7"/>
  <c r="BJ135" i="7"/>
  <c r="BK135" i="7"/>
  <c r="BL135" i="7"/>
  <c r="BM135" i="7"/>
  <c r="BN135" i="7"/>
  <c r="BO135" i="7"/>
  <c r="BP135" i="7"/>
  <c r="BQ135" i="7"/>
  <c r="AW136" i="7"/>
  <c r="AX136" i="7"/>
  <c r="AY136" i="7"/>
  <c r="AZ136" i="7"/>
  <c r="BA136" i="7"/>
  <c r="BB136" i="7"/>
  <c r="BC136" i="7"/>
  <c r="BD136" i="7"/>
  <c r="BE136" i="7"/>
  <c r="BF136" i="7"/>
  <c r="BG136" i="7"/>
  <c r="BH136" i="7"/>
  <c r="BI136" i="7"/>
  <c r="BJ136" i="7"/>
  <c r="BK136" i="7"/>
  <c r="BL136" i="7"/>
  <c r="BM136" i="7"/>
  <c r="BN136" i="7"/>
  <c r="BO136" i="7"/>
  <c r="BP136" i="7"/>
  <c r="BQ136" i="7"/>
  <c r="AX137" i="7"/>
  <c r="AY137" i="7" s="1"/>
  <c r="AZ137" i="7"/>
  <c r="BA137" i="7" s="1"/>
  <c r="BB137" i="7"/>
  <c r="BC137" i="7" s="1"/>
  <c r="BD137" i="7"/>
  <c r="BE137" i="7" s="1"/>
  <c r="BG137" i="7"/>
  <c r="BH137" i="7"/>
  <c r="BI137" i="7"/>
  <c r="BJ137" i="7"/>
  <c r="BK137" i="7"/>
  <c r="BL137" i="7"/>
  <c r="BM137" i="7"/>
  <c r="BN137" i="7"/>
  <c r="BO137" i="7"/>
  <c r="BP137" i="7"/>
  <c r="BQ137" i="7"/>
  <c r="AW138" i="7"/>
  <c r="AX138" i="7"/>
  <c r="AY138" i="7"/>
  <c r="AZ138" i="7"/>
  <c r="BA138" i="7"/>
  <c r="BB138" i="7"/>
  <c r="BC138" i="7"/>
  <c r="BD138" i="7"/>
  <c r="BE138" i="7"/>
  <c r="BF138" i="7"/>
  <c r="BG138" i="7"/>
  <c r="BH138" i="7"/>
  <c r="BI138" i="7"/>
  <c r="BJ138" i="7"/>
  <c r="BK138" i="7"/>
  <c r="BL138" i="7"/>
  <c r="BM138" i="7"/>
  <c r="BN138" i="7"/>
  <c r="BO138" i="7"/>
  <c r="BP138" i="7"/>
  <c r="BQ138" i="7"/>
  <c r="AX139" i="7"/>
  <c r="AY139" i="7" s="1"/>
  <c r="AZ139" i="7"/>
  <c r="BA139" i="7" s="1"/>
  <c r="BB139" i="7"/>
  <c r="BC139" i="7" s="1"/>
  <c r="BD139" i="7"/>
  <c r="BE139" i="7" s="1"/>
  <c r="BG139" i="7"/>
  <c r="BH139" i="7"/>
  <c r="BI139" i="7"/>
  <c r="BJ139" i="7"/>
  <c r="BK139" i="7"/>
  <c r="BL139" i="7"/>
  <c r="BN139" i="7"/>
  <c r="BO139" i="7"/>
  <c r="BP139" i="7"/>
  <c r="AW140" i="7"/>
  <c r="AX140" i="7"/>
  <c r="AY140" i="7"/>
  <c r="AZ140" i="7"/>
  <c r="BA140" i="7"/>
  <c r="BB140" i="7"/>
  <c r="BC140" i="7"/>
  <c r="BD140" i="7"/>
  <c r="BE140" i="7"/>
  <c r="BF140" i="7"/>
  <c r="BG140" i="7"/>
  <c r="BH140" i="7"/>
  <c r="BI140" i="7"/>
  <c r="BJ140" i="7"/>
  <c r="BK140" i="7"/>
  <c r="BL140" i="7"/>
  <c r="BM140" i="7"/>
  <c r="BN140" i="7"/>
  <c r="BO140" i="7"/>
  <c r="BP140" i="7"/>
  <c r="BQ140" i="7"/>
  <c r="AX141" i="7"/>
  <c r="AY141" i="7" s="1"/>
  <c r="AZ141" i="7"/>
  <c r="BA141" i="7" s="1"/>
  <c r="BB141" i="7"/>
  <c r="BC141" i="7" s="1"/>
  <c r="BD141" i="7"/>
  <c r="BE141" i="7" s="1"/>
  <c r="BG141" i="7"/>
  <c r="BH141" i="7"/>
  <c r="BI141" i="7"/>
  <c r="BJ141" i="7"/>
  <c r="BK141" i="7"/>
  <c r="BL141" i="7"/>
  <c r="BN141" i="7"/>
  <c r="BO141" i="7"/>
  <c r="BP141" i="7"/>
  <c r="BQ141" i="7"/>
  <c r="AW142" i="7"/>
  <c r="AX142" i="7"/>
  <c r="AY142" i="7"/>
  <c r="AZ142" i="7"/>
  <c r="BA142" i="7"/>
  <c r="BB142" i="7"/>
  <c r="BC142" i="7"/>
  <c r="BD142" i="7"/>
  <c r="BE142" i="7"/>
  <c r="BF142" i="7"/>
  <c r="BG142" i="7"/>
  <c r="BH142" i="7"/>
  <c r="BI142" i="7"/>
  <c r="BJ142" i="7"/>
  <c r="BK142" i="7"/>
  <c r="BL142" i="7"/>
  <c r="BM142" i="7"/>
  <c r="BN142" i="7"/>
  <c r="BO142" i="7"/>
  <c r="BP142" i="7"/>
  <c r="BQ142" i="7"/>
  <c r="AX143" i="7"/>
  <c r="AY143" i="7" s="1"/>
  <c r="AZ143" i="7"/>
  <c r="BA143" i="7" s="1"/>
  <c r="BB143" i="7"/>
  <c r="BC143" i="7" s="1"/>
  <c r="BD143" i="7"/>
  <c r="BE143" i="7" s="1"/>
  <c r="BF143" i="7"/>
  <c r="BH143" i="7"/>
  <c r="BI143" i="7"/>
  <c r="BJ143" i="7"/>
  <c r="BK143" i="7"/>
  <c r="BL143" i="7"/>
  <c r="BM143" i="7"/>
  <c r="BN143" i="7"/>
  <c r="BO143" i="7"/>
  <c r="BP143" i="7"/>
  <c r="BQ143" i="7"/>
  <c r="AW144" i="7"/>
  <c r="AX144" i="7"/>
  <c r="AY144" i="7"/>
  <c r="AZ144" i="7"/>
  <c r="BA144" i="7"/>
  <c r="BB144" i="7"/>
  <c r="BC144" i="7"/>
  <c r="BD144" i="7"/>
  <c r="BE144" i="7"/>
  <c r="BF144" i="7"/>
  <c r="BG144" i="7"/>
  <c r="BI144" i="7"/>
  <c r="BJ144" i="7"/>
  <c r="BK144" i="7"/>
  <c r="BL144" i="7"/>
  <c r="BM144" i="7"/>
  <c r="BN144" i="7"/>
  <c r="BO144" i="7"/>
  <c r="BP144" i="7"/>
  <c r="BQ144" i="7"/>
  <c r="AX145" i="7"/>
  <c r="AY145" i="7" s="1"/>
  <c r="AZ145" i="7"/>
  <c r="BA145" i="7" s="1"/>
  <c r="BB145" i="7"/>
  <c r="BC145" i="7" s="1"/>
  <c r="BD145" i="7"/>
  <c r="BE145" i="7" s="1"/>
  <c r="BG145" i="7"/>
  <c r="BH145" i="7"/>
  <c r="BI145" i="7"/>
  <c r="BJ145" i="7"/>
  <c r="BK145" i="7"/>
  <c r="BL145" i="7"/>
  <c r="BM145" i="7"/>
  <c r="BN145" i="7"/>
  <c r="BO145" i="7"/>
  <c r="BP145" i="7"/>
  <c r="BQ145" i="7"/>
  <c r="AW146" i="7"/>
  <c r="AX146" i="7"/>
  <c r="AY146" i="7"/>
  <c r="AZ146" i="7"/>
  <c r="BA146" i="7"/>
  <c r="BB146" i="7"/>
  <c r="BC146" i="7"/>
  <c r="BD146" i="7"/>
  <c r="BE146" i="7"/>
  <c r="BF146" i="7"/>
  <c r="BG146" i="7"/>
  <c r="BH146" i="7"/>
  <c r="BI146" i="7"/>
  <c r="BJ146" i="7"/>
  <c r="BK146" i="7"/>
  <c r="BL146" i="7"/>
  <c r="BM146" i="7"/>
  <c r="BN146" i="7"/>
  <c r="BO146" i="7"/>
  <c r="BP146" i="7"/>
  <c r="BQ146" i="7"/>
  <c r="AX147" i="7"/>
  <c r="AY147" i="7" s="1"/>
  <c r="AZ147" i="7"/>
  <c r="BA147" i="7" s="1"/>
  <c r="BB147" i="7"/>
  <c r="BC147" i="7" s="1"/>
  <c r="BD147" i="7"/>
  <c r="BE147" i="7" s="1"/>
  <c r="BF147" i="7"/>
  <c r="BH147" i="7"/>
  <c r="BI147" i="7"/>
  <c r="BJ147" i="7"/>
  <c r="BK147" i="7"/>
  <c r="BL147" i="7"/>
  <c r="BM147" i="7"/>
  <c r="BN147" i="7"/>
  <c r="BO147" i="7"/>
  <c r="BP147" i="7"/>
  <c r="BQ147" i="7"/>
  <c r="AW148" i="7"/>
  <c r="AX148" i="7"/>
  <c r="AY148" i="7"/>
  <c r="AZ148" i="7"/>
  <c r="BA148" i="7"/>
  <c r="BB148" i="7"/>
  <c r="BC148" i="7"/>
  <c r="BD148" i="7"/>
  <c r="BE148" i="7"/>
  <c r="BF148" i="7"/>
  <c r="BG148" i="7"/>
  <c r="BH148" i="7"/>
  <c r="BI148" i="7"/>
  <c r="BJ148" i="7"/>
  <c r="BK148" i="7"/>
  <c r="BL148" i="7"/>
  <c r="BM148" i="7"/>
  <c r="BN148" i="7"/>
  <c r="BO148" i="7"/>
  <c r="BP148" i="7"/>
  <c r="BQ148" i="7"/>
  <c r="AW149" i="7"/>
  <c r="AX149" i="7"/>
  <c r="AY149" i="7" s="1"/>
  <c r="AZ149" i="7"/>
  <c r="BA149" i="7" s="1"/>
  <c r="BB149" i="7"/>
  <c r="BC149" i="7" s="1"/>
  <c r="BD149" i="7"/>
  <c r="BE149" i="7" s="1"/>
  <c r="BG149" i="7"/>
  <c r="BH149" i="7"/>
  <c r="BI149" i="7"/>
  <c r="BJ149" i="7"/>
  <c r="BK149" i="7"/>
  <c r="BL149" i="7"/>
  <c r="BN149" i="7"/>
  <c r="BO149" i="7"/>
  <c r="BP149" i="7"/>
  <c r="BQ149" i="7"/>
  <c r="AW150" i="7"/>
  <c r="AX150" i="7"/>
  <c r="AY150" i="7"/>
  <c r="AZ150" i="7"/>
  <c r="BA150" i="7"/>
  <c r="BB150" i="7"/>
  <c r="BC150" i="7"/>
  <c r="BD150" i="7"/>
  <c r="BE150" i="7"/>
  <c r="BF150" i="7"/>
  <c r="BG150" i="7"/>
  <c r="BI150" i="7"/>
  <c r="BJ150" i="7"/>
  <c r="BK150" i="7"/>
  <c r="BL150" i="7"/>
  <c r="BM150" i="7"/>
  <c r="BN150" i="7"/>
  <c r="BO150" i="7"/>
  <c r="BP150" i="7"/>
  <c r="BQ150" i="7"/>
  <c r="AX151" i="7"/>
  <c r="AY151" i="7" s="1"/>
  <c r="AZ151" i="7"/>
  <c r="BA151" i="7" s="1"/>
  <c r="BB151" i="7"/>
  <c r="BC151" i="7" s="1"/>
  <c r="BD151" i="7"/>
  <c r="BE151" i="7" s="1"/>
  <c r="BG151" i="7"/>
  <c r="BH151" i="7"/>
  <c r="BI151" i="7"/>
  <c r="BJ151" i="7"/>
  <c r="BK151" i="7"/>
  <c r="BL151" i="7"/>
  <c r="BN151" i="7"/>
  <c r="BO151" i="7"/>
  <c r="BP151" i="7"/>
  <c r="BQ151" i="7"/>
  <c r="AW152" i="7"/>
  <c r="AX152" i="7"/>
  <c r="AY152" i="7"/>
  <c r="AZ152" i="7"/>
  <c r="BA152" i="7"/>
  <c r="BB152" i="7"/>
  <c r="BC152" i="7"/>
  <c r="BD152" i="7"/>
  <c r="BE152" i="7"/>
  <c r="BF152" i="7"/>
  <c r="BG152" i="7"/>
  <c r="BH152" i="7"/>
  <c r="BI152" i="7"/>
  <c r="BJ152" i="7"/>
  <c r="BK152" i="7"/>
  <c r="BL152" i="7"/>
  <c r="BM152" i="7"/>
  <c r="BN152" i="7"/>
  <c r="BO152" i="7"/>
  <c r="BP152" i="7"/>
  <c r="BQ152" i="7"/>
  <c r="AX153" i="7"/>
  <c r="AY153" i="7" s="1"/>
  <c r="AZ153" i="7"/>
  <c r="BA153" i="7" s="1"/>
  <c r="BB153" i="7"/>
  <c r="BC153" i="7" s="1"/>
  <c r="BD153" i="7"/>
  <c r="BE153" i="7" s="1"/>
  <c r="BG153" i="7"/>
  <c r="BH153" i="7"/>
  <c r="BI153" i="7"/>
  <c r="BJ153" i="7"/>
  <c r="BK153" i="7"/>
  <c r="BL153" i="7"/>
  <c r="BM153" i="7"/>
  <c r="BN153" i="7"/>
  <c r="BO153" i="7"/>
  <c r="BP153" i="7"/>
  <c r="AW154" i="7"/>
  <c r="AX154" i="7"/>
  <c r="AY154" i="7"/>
  <c r="AZ154" i="7"/>
  <c r="BA154" i="7"/>
  <c r="BB154" i="7"/>
  <c r="BC154" i="7"/>
  <c r="BD154" i="7"/>
  <c r="BE154" i="7"/>
  <c r="BF154" i="7"/>
  <c r="BG154" i="7"/>
  <c r="BH154" i="7"/>
  <c r="BI154" i="7"/>
  <c r="BJ154" i="7"/>
  <c r="BK154" i="7"/>
  <c r="BL154" i="7"/>
  <c r="BM154" i="7"/>
  <c r="BN154" i="7"/>
  <c r="BO154" i="7"/>
  <c r="BP154" i="7"/>
  <c r="BQ154" i="7"/>
  <c r="AX155" i="7"/>
  <c r="AY155" i="7" s="1"/>
  <c r="AZ155" i="7"/>
  <c r="BA155" i="7" s="1"/>
  <c r="BB155" i="7"/>
  <c r="BC155" i="7" s="1"/>
  <c r="BD155" i="7"/>
  <c r="BE155" i="7" s="1"/>
  <c r="BG155" i="7"/>
  <c r="BH155" i="7"/>
  <c r="BI155" i="7"/>
  <c r="BJ155" i="7"/>
  <c r="BK155" i="7"/>
  <c r="BL155" i="7"/>
  <c r="BN155" i="7"/>
  <c r="BO155" i="7"/>
  <c r="BP155" i="7"/>
  <c r="BQ155" i="7"/>
  <c r="AW156" i="7"/>
  <c r="AX156" i="7"/>
  <c r="AY156" i="7"/>
  <c r="AZ156" i="7"/>
  <c r="BA156" i="7"/>
  <c r="BB156" i="7"/>
  <c r="BC156" i="7"/>
  <c r="BD156" i="7"/>
  <c r="BE156" i="7"/>
  <c r="BF156" i="7"/>
  <c r="BG156" i="7"/>
  <c r="BH156" i="7"/>
  <c r="BI156" i="7"/>
  <c r="BJ156" i="7"/>
  <c r="BK156" i="7"/>
  <c r="BL156" i="7"/>
  <c r="BM156" i="7"/>
  <c r="BN156" i="7"/>
  <c r="BO156" i="7"/>
  <c r="BP156" i="7"/>
  <c r="BQ156" i="7"/>
  <c r="AW157" i="7"/>
  <c r="AX157" i="7"/>
  <c r="AY157" i="7"/>
  <c r="AZ157" i="7"/>
  <c r="BA157" i="7"/>
  <c r="BB157" i="7"/>
  <c r="BC157" i="7"/>
  <c r="BD157" i="7"/>
  <c r="BE157" i="7"/>
  <c r="BG157" i="7"/>
  <c r="BH157" i="7"/>
  <c r="BI157" i="7"/>
  <c r="BJ157" i="7"/>
  <c r="BK157" i="7"/>
  <c r="BL157" i="7"/>
  <c r="BM157" i="7"/>
  <c r="BN157" i="7"/>
  <c r="BO157" i="7"/>
  <c r="BP157" i="7"/>
  <c r="AW158" i="7"/>
  <c r="AX158" i="7"/>
  <c r="AY158" i="7"/>
  <c r="AZ158" i="7"/>
  <c r="BA158" i="7"/>
  <c r="BB158" i="7"/>
  <c r="BC158" i="7"/>
  <c r="BD158" i="7"/>
  <c r="BE158" i="7"/>
  <c r="BF158" i="7"/>
  <c r="BG158" i="7"/>
  <c r="BH158" i="7"/>
  <c r="BI158" i="7"/>
  <c r="BJ158" i="7"/>
  <c r="BK158" i="7"/>
  <c r="BL158" i="7"/>
  <c r="BM158" i="7"/>
  <c r="BN158" i="7"/>
  <c r="BO158" i="7"/>
  <c r="BP158" i="7"/>
  <c r="BQ158" i="7"/>
  <c r="AW159" i="7"/>
  <c r="AX159" i="7"/>
  <c r="AY159" i="7"/>
  <c r="AZ159" i="7"/>
  <c r="BA159" i="7"/>
  <c r="BB159" i="7"/>
  <c r="BC159" i="7"/>
  <c r="BD159" i="7"/>
  <c r="BE159" i="7"/>
  <c r="BG159" i="7"/>
  <c r="BH159" i="7"/>
  <c r="BI159" i="7"/>
  <c r="BJ159" i="7"/>
  <c r="BK159" i="7"/>
  <c r="BL159" i="7"/>
  <c r="BM159" i="7"/>
  <c r="BN159" i="7"/>
  <c r="BO159" i="7"/>
  <c r="BP159" i="7"/>
  <c r="BQ159" i="7"/>
  <c r="AW160" i="7"/>
  <c r="AX160" i="7"/>
  <c r="AY160" i="7"/>
  <c r="AZ160" i="7"/>
  <c r="BA160" i="7"/>
  <c r="BB160" i="7"/>
  <c r="BC160" i="7"/>
  <c r="BD160" i="7"/>
  <c r="BE160" i="7"/>
  <c r="BF160" i="7"/>
  <c r="BG160" i="7"/>
  <c r="BH160" i="7"/>
  <c r="BI160" i="7"/>
  <c r="BJ160" i="7"/>
  <c r="BK160" i="7"/>
  <c r="BL160" i="7"/>
  <c r="BM160" i="7"/>
  <c r="BN160" i="7"/>
  <c r="BO160" i="7"/>
  <c r="BP160" i="7"/>
  <c r="BQ160" i="7"/>
  <c r="AX161" i="7"/>
  <c r="AY161" i="7" s="1"/>
  <c r="AZ161" i="7"/>
  <c r="BA161" i="7" s="1"/>
  <c r="BB161" i="7"/>
  <c r="BC161" i="7" s="1"/>
  <c r="BD161" i="7"/>
  <c r="BE161" i="7" s="1"/>
  <c r="BG161" i="7"/>
  <c r="BH161" i="7"/>
  <c r="BI161" i="7"/>
  <c r="BJ161" i="7"/>
  <c r="BK161" i="7"/>
  <c r="BL161" i="7"/>
  <c r="BM161" i="7"/>
  <c r="BN161" i="7"/>
  <c r="BO161" i="7"/>
  <c r="BP161" i="7"/>
  <c r="BQ161" i="7"/>
  <c r="AW162" i="7"/>
  <c r="AX162" i="7"/>
  <c r="AY162" i="7"/>
  <c r="AZ162" i="7"/>
  <c r="BA162" i="7"/>
  <c r="BB162" i="7"/>
  <c r="BC162" i="7"/>
  <c r="BD162" i="7"/>
  <c r="BE162" i="7"/>
  <c r="BF162" i="7"/>
  <c r="BG162" i="7"/>
  <c r="BI162" i="7"/>
  <c r="BJ162" i="7"/>
  <c r="BK162" i="7"/>
  <c r="BL162" i="7"/>
  <c r="BM162" i="7"/>
  <c r="BN162" i="7"/>
  <c r="BO162" i="7"/>
  <c r="BP162" i="7"/>
  <c r="BQ162" i="7"/>
  <c r="AX163" i="7"/>
  <c r="AY163" i="7" s="1"/>
  <c r="AZ163" i="7"/>
  <c r="BA163" i="7" s="1"/>
  <c r="BB163" i="7"/>
  <c r="BC163" i="7" s="1"/>
  <c r="BD163" i="7"/>
  <c r="BE163" i="7" s="1"/>
  <c r="BG163" i="7"/>
  <c r="BH163" i="7"/>
  <c r="BI163" i="7"/>
  <c r="BJ163" i="7"/>
  <c r="BK163" i="7"/>
  <c r="BL163" i="7"/>
  <c r="BM163" i="7"/>
  <c r="BN163" i="7"/>
  <c r="BO163" i="7"/>
  <c r="BP163" i="7"/>
  <c r="BQ163" i="7"/>
  <c r="AW164" i="7"/>
  <c r="AX164" i="7"/>
  <c r="AY164" i="7"/>
  <c r="AZ164" i="7"/>
  <c r="BA164" i="7"/>
  <c r="BB164" i="7"/>
  <c r="BC164" i="7"/>
  <c r="BD164" i="7"/>
  <c r="BE164" i="7"/>
  <c r="BF164" i="7"/>
  <c r="BG164" i="7"/>
  <c r="BH164" i="7"/>
  <c r="BI164" i="7"/>
  <c r="BJ164" i="7"/>
  <c r="BK164" i="7"/>
  <c r="BL164" i="7"/>
  <c r="BM164" i="7"/>
  <c r="BN164" i="7"/>
  <c r="BO164" i="7"/>
  <c r="BP164" i="7"/>
  <c r="BQ164" i="7"/>
  <c r="AX165" i="7"/>
  <c r="AY165" i="7" s="1"/>
  <c r="AZ165" i="7"/>
  <c r="BA165" i="7" s="1"/>
  <c r="BB165" i="7"/>
  <c r="BC165" i="7" s="1"/>
  <c r="BD165" i="7"/>
  <c r="BE165" i="7" s="1"/>
  <c r="BG165" i="7"/>
  <c r="BH165" i="7"/>
  <c r="BI165" i="7"/>
  <c r="BJ165" i="7"/>
  <c r="BK165" i="7"/>
  <c r="BL165" i="7"/>
  <c r="BN165" i="7"/>
  <c r="BO165" i="7"/>
  <c r="BP165" i="7"/>
  <c r="BQ165" i="7"/>
  <c r="AW166" i="7"/>
  <c r="AX166" i="7"/>
  <c r="AY166" i="7"/>
  <c r="AZ166" i="7"/>
  <c r="BA166" i="7"/>
  <c r="BB166" i="7"/>
  <c r="BC166" i="7"/>
  <c r="BD166" i="7"/>
  <c r="BE166" i="7"/>
  <c r="BF166" i="7"/>
  <c r="BG166" i="7"/>
  <c r="BI166" i="7"/>
  <c r="BJ166" i="7"/>
  <c r="BK166" i="7"/>
  <c r="BL166" i="7"/>
  <c r="BM166" i="7"/>
  <c r="BN166" i="7"/>
  <c r="BO166" i="7"/>
  <c r="BP166" i="7"/>
  <c r="BQ166" i="7"/>
  <c r="AW167" i="7"/>
  <c r="AX167" i="7"/>
  <c r="AY167" i="7" s="1"/>
  <c r="AZ167" i="7"/>
  <c r="BA167" i="7" s="1"/>
  <c r="BB167" i="7"/>
  <c r="BC167" i="7" s="1"/>
  <c r="BD167" i="7"/>
  <c r="BE167" i="7" s="1"/>
  <c r="BG167" i="7"/>
  <c r="BH167" i="7"/>
  <c r="BI167" i="7"/>
  <c r="BJ167" i="7"/>
  <c r="BK167" i="7"/>
  <c r="BL167" i="7"/>
  <c r="BM167" i="7"/>
  <c r="BN167" i="7"/>
  <c r="BO167" i="7"/>
  <c r="BP167" i="7"/>
  <c r="AW168" i="7"/>
  <c r="AX168" i="7"/>
  <c r="AY168" i="7"/>
  <c r="AZ168" i="7"/>
  <c r="BA168" i="7"/>
  <c r="BB168" i="7"/>
  <c r="BC168" i="7"/>
  <c r="BD168" i="7"/>
  <c r="BE168" i="7"/>
  <c r="BF168" i="7"/>
  <c r="BG168" i="7"/>
  <c r="BI168" i="7"/>
  <c r="BJ168" i="7"/>
  <c r="BK168" i="7"/>
  <c r="BL168" i="7"/>
  <c r="BM168" i="7"/>
  <c r="BN168" i="7"/>
  <c r="BO168" i="7"/>
  <c r="BP168" i="7"/>
  <c r="BQ168" i="7"/>
  <c r="AX169" i="7"/>
  <c r="AY169" i="7" s="1"/>
  <c r="AZ169" i="7"/>
  <c r="BA169" i="7" s="1"/>
  <c r="BB169" i="7"/>
  <c r="BC169" i="7" s="1"/>
  <c r="BD169" i="7"/>
  <c r="BE169" i="7" s="1"/>
  <c r="BG169" i="7"/>
  <c r="BH169" i="7"/>
  <c r="BI169" i="7"/>
  <c r="BJ169" i="7"/>
  <c r="BK169" i="7"/>
  <c r="BL169" i="7"/>
  <c r="BN169" i="7"/>
  <c r="BO169" i="7"/>
  <c r="BP169" i="7"/>
  <c r="BQ169" i="7"/>
  <c r="AW170" i="7"/>
  <c r="AX170" i="7"/>
  <c r="AY170" i="7"/>
  <c r="AZ170" i="7"/>
  <c r="BA170" i="7"/>
  <c r="BB170" i="7"/>
  <c r="BC170" i="7"/>
  <c r="BD170" i="7"/>
  <c r="BE170" i="7"/>
  <c r="BF170" i="7"/>
  <c r="BG170" i="7"/>
  <c r="BH170" i="7"/>
  <c r="BI170" i="7"/>
  <c r="BJ170" i="7"/>
  <c r="BK170" i="7"/>
  <c r="BL170" i="7"/>
  <c r="BM170" i="7"/>
  <c r="BN170" i="7"/>
  <c r="BO170" i="7"/>
  <c r="BP170" i="7"/>
  <c r="BQ170" i="7"/>
  <c r="AX171" i="7"/>
  <c r="AY171" i="7" s="1"/>
  <c r="AZ171" i="7"/>
  <c r="BA171" i="7" s="1"/>
  <c r="BB171" i="7"/>
  <c r="BC171" i="7" s="1"/>
  <c r="BD171" i="7"/>
  <c r="BE171" i="7" s="1"/>
  <c r="BG171" i="7"/>
  <c r="BH171" i="7"/>
  <c r="BI171" i="7"/>
  <c r="BJ171" i="7"/>
  <c r="BK171" i="7"/>
  <c r="BL171" i="7"/>
  <c r="BM171" i="7"/>
  <c r="BN171" i="7"/>
  <c r="BO171" i="7"/>
  <c r="BP171" i="7"/>
  <c r="AW172" i="7"/>
  <c r="AX172" i="7"/>
  <c r="AY172" i="7"/>
  <c r="AZ172" i="7"/>
  <c r="BA172" i="7"/>
  <c r="BB172" i="7"/>
  <c r="BC172" i="7"/>
  <c r="BD172" i="7"/>
  <c r="BE172" i="7"/>
  <c r="BF172" i="7"/>
  <c r="BG172" i="7"/>
  <c r="BH172" i="7"/>
  <c r="BI172" i="7"/>
  <c r="BJ172" i="7"/>
  <c r="BK172" i="7"/>
  <c r="BL172" i="7"/>
  <c r="BM172" i="7"/>
  <c r="BN172" i="7"/>
  <c r="BO172" i="7"/>
  <c r="BP172" i="7"/>
  <c r="BQ172" i="7"/>
  <c r="AX173" i="7"/>
  <c r="AY173" i="7" s="1"/>
  <c r="AZ173" i="7"/>
  <c r="BA173" i="7" s="1"/>
  <c r="BB173" i="7"/>
  <c r="BC173" i="7" s="1"/>
  <c r="BD173" i="7"/>
  <c r="BE173" i="7" s="1"/>
  <c r="BF173" i="7"/>
  <c r="BG173" i="7"/>
  <c r="BI173" i="7"/>
  <c r="BJ173" i="7"/>
  <c r="BK173" i="7"/>
  <c r="BL173" i="7"/>
  <c r="BN173" i="7"/>
  <c r="BO173" i="7"/>
  <c r="BP173" i="7"/>
  <c r="AW174" i="7"/>
  <c r="AX174" i="7"/>
  <c r="AY174" i="7"/>
  <c r="AZ174" i="7"/>
  <c r="BA174" i="7"/>
  <c r="BB174" i="7"/>
  <c r="BC174" i="7"/>
  <c r="BD174" i="7"/>
  <c r="BE174" i="7"/>
  <c r="BF174" i="7"/>
  <c r="BG174" i="7"/>
  <c r="BH174" i="7"/>
  <c r="BI174" i="7"/>
  <c r="BJ174" i="7"/>
  <c r="BK174" i="7"/>
  <c r="BL174" i="7"/>
  <c r="BM174" i="7"/>
  <c r="BN174" i="7"/>
  <c r="BO174" i="7"/>
  <c r="BP174" i="7"/>
  <c r="BQ174" i="7"/>
  <c r="AX175" i="7"/>
  <c r="AY175" i="7" s="1"/>
  <c r="AZ175" i="7"/>
  <c r="BA175" i="7" s="1"/>
  <c r="BB175" i="7"/>
  <c r="BC175" i="7" s="1"/>
  <c r="BD175" i="7"/>
  <c r="BE175" i="7" s="1"/>
  <c r="BG175" i="7"/>
  <c r="BH175" i="7"/>
  <c r="BI175" i="7"/>
  <c r="BJ175" i="7"/>
  <c r="BK175" i="7"/>
  <c r="BL175" i="7"/>
  <c r="BN175" i="7"/>
  <c r="BO175" i="7"/>
  <c r="BP175" i="7"/>
  <c r="BQ175" i="7"/>
  <c r="AW176" i="7"/>
  <c r="AX176" i="7"/>
  <c r="AY176" i="7"/>
  <c r="AZ176" i="7"/>
  <c r="BA176" i="7"/>
  <c r="BB176" i="7"/>
  <c r="BC176" i="7"/>
  <c r="BD176" i="7"/>
  <c r="BE176" i="7"/>
  <c r="BF176" i="7"/>
  <c r="BG176" i="7"/>
  <c r="BH176" i="7"/>
  <c r="BI176" i="7"/>
  <c r="BJ176" i="7"/>
  <c r="BK176" i="7"/>
  <c r="BL176" i="7"/>
  <c r="BM176" i="7"/>
  <c r="BN176" i="7"/>
  <c r="BO176" i="7"/>
  <c r="BP176" i="7"/>
  <c r="BQ176" i="7"/>
  <c r="AX177" i="7"/>
  <c r="AY177" i="7" s="1"/>
  <c r="AZ177" i="7"/>
  <c r="BA177" i="7" s="1"/>
  <c r="BB177" i="7"/>
  <c r="BC177" i="7" s="1"/>
  <c r="BD177" i="7"/>
  <c r="BE177" i="7" s="1"/>
  <c r="BG177" i="7"/>
  <c r="BH177" i="7"/>
  <c r="BI177" i="7"/>
  <c r="BJ177" i="7"/>
  <c r="BK177" i="7"/>
  <c r="BL177" i="7"/>
  <c r="BM177" i="7"/>
  <c r="BN177" i="7"/>
  <c r="BO177" i="7"/>
  <c r="BP177" i="7"/>
  <c r="AW178" i="7"/>
  <c r="AX178" i="7"/>
  <c r="AY178" i="7"/>
  <c r="AZ178" i="7"/>
  <c r="BA178" i="7"/>
  <c r="BB178" i="7"/>
  <c r="BC178" i="7"/>
  <c r="BD178" i="7"/>
  <c r="BE178" i="7"/>
  <c r="BF178" i="7"/>
  <c r="BG178" i="7"/>
  <c r="BI178" i="7"/>
  <c r="BJ178" i="7"/>
  <c r="BK178" i="7"/>
  <c r="BL178" i="7"/>
  <c r="BM178" i="7"/>
  <c r="BN178" i="7"/>
  <c r="BO178" i="7"/>
  <c r="BP178" i="7"/>
  <c r="BQ178" i="7"/>
  <c r="AX179" i="7"/>
  <c r="AY179" i="7" s="1"/>
  <c r="AZ179" i="7"/>
  <c r="BA179" i="7" s="1"/>
  <c r="BB179" i="7"/>
  <c r="BC179" i="7" s="1"/>
  <c r="BD179" i="7"/>
  <c r="BE179" i="7" s="1"/>
  <c r="BG179" i="7"/>
  <c r="BH179" i="7"/>
  <c r="BI179" i="7"/>
  <c r="BJ179" i="7"/>
  <c r="BK179" i="7"/>
  <c r="BL179" i="7"/>
  <c r="BM179" i="7"/>
  <c r="BN179" i="7"/>
  <c r="BO179" i="7"/>
  <c r="BP179" i="7"/>
  <c r="BQ179" i="7"/>
  <c r="AW180" i="7"/>
  <c r="AX180" i="7"/>
  <c r="AY180" i="7"/>
  <c r="AZ180" i="7"/>
  <c r="BA180" i="7"/>
  <c r="BB180" i="7"/>
  <c r="BC180" i="7"/>
  <c r="BD180" i="7"/>
  <c r="BE180" i="7"/>
  <c r="BF180" i="7"/>
  <c r="BG180" i="7"/>
  <c r="BI180" i="7"/>
  <c r="BJ180" i="7"/>
  <c r="BK180" i="7"/>
  <c r="BL180" i="7"/>
  <c r="BM180" i="7"/>
  <c r="BN180" i="7"/>
  <c r="BO180" i="7"/>
  <c r="BP180" i="7"/>
  <c r="BQ180" i="7"/>
  <c r="AX181" i="7"/>
  <c r="AY181" i="7" s="1"/>
  <c r="AZ181" i="7"/>
  <c r="BA181" i="7" s="1"/>
  <c r="BB181" i="7"/>
  <c r="BC181" i="7" s="1"/>
  <c r="BD181" i="7"/>
  <c r="BE181" i="7" s="1"/>
  <c r="BG181" i="7"/>
  <c r="BH181" i="7"/>
  <c r="BI181" i="7"/>
  <c r="BJ181" i="7"/>
  <c r="BK181" i="7"/>
  <c r="BL181" i="7"/>
  <c r="BM181" i="7"/>
  <c r="BN181" i="7"/>
  <c r="BO181" i="7"/>
  <c r="BP181" i="7"/>
  <c r="BQ181" i="7"/>
  <c r="AW182" i="7"/>
  <c r="AX182" i="7"/>
  <c r="AY182" i="7"/>
  <c r="AZ182" i="7"/>
  <c r="BA182" i="7"/>
  <c r="BB182" i="7"/>
  <c r="BC182" i="7"/>
  <c r="BD182" i="7"/>
  <c r="BE182" i="7"/>
  <c r="BF182" i="7"/>
  <c r="BG182" i="7"/>
  <c r="BH182" i="7"/>
  <c r="BI182" i="7"/>
  <c r="BJ182" i="7"/>
  <c r="BK182" i="7"/>
  <c r="BL182" i="7"/>
  <c r="BM182" i="7"/>
  <c r="BN182" i="7"/>
  <c r="BO182" i="7"/>
  <c r="BP182" i="7"/>
  <c r="BQ182" i="7"/>
  <c r="AX183" i="7"/>
  <c r="AY183" i="7" s="1"/>
  <c r="AZ183" i="7"/>
  <c r="BA183" i="7" s="1"/>
  <c r="BB183" i="7"/>
  <c r="BC183" i="7" s="1"/>
  <c r="BD183" i="7"/>
  <c r="BE183" i="7" s="1"/>
  <c r="BG183" i="7"/>
  <c r="BH183" i="7"/>
  <c r="BI183" i="7"/>
  <c r="BJ183" i="7"/>
  <c r="BK183" i="7"/>
  <c r="BL183" i="7"/>
  <c r="BM183" i="7"/>
  <c r="BN183" i="7"/>
  <c r="BO183" i="7"/>
  <c r="BP183" i="7"/>
  <c r="BQ183" i="7"/>
  <c r="AW184" i="7"/>
  <c r="AX184" i="7"/>
  <c r="AY184" i="7"/>
  <c r="AZ184" i="7"/>
  <c r="BA184" i="7"/>
  <c r="BB184" i="7"/>
  <c r="BC184" i="7"/>
  <c r="BD184" i="7"/>
  <c r="BE184" i="7"/>
  <c r="BF184" i="7"/>
  <c r="BG184" i="7"/>
  <c r="BH184" i="7"/>
  <c r="BI184" i="7"/>
  <c r="BJ184" i="7"/>
  <c r="BK184" i="7"/>
  <c r="BL184" i="7"/>
  <c r="BM184" i="7"/>
  <c r="BN184" i="7"/>
  <c r="BO184" i="7"/>
  <c r="BP184" i="7"/>
  <c r="BQ184" i="7"/>
  <c r="AX185" i="7"/>
  <c r="AY185" i="7" s="1"/>
  <c r="AZ185" i="7"/>
  <c r="BA185" i="7" s="1"/>
  <c r="BB185" i="7"/>
  <c r="BC185" i="7" s="1"/>
  <c r="BD185" i="7"/>
  <c r="BE185" i="7" s="1"/>
  <c r="BG185" i="7"/>
  <c r="BH185" i="7"/>
  <c r="BI185" i="7"/>
  <c r="BJ185" i="7"/>
  <c r="BK185" i="7"/>
  <c r="BL185" i="7"/>
  <c r="BM185" i="7"/>
  <c r="BN185" i="7"/>
  <c r="BO185" i="7"/>
  <c r="BP185" i="7"/>
  <c r="BQ185" i="7"/>
  <c r="AW186" i="7"/>
  <c r="AX186" i="7"/>
  <c r="AY186" i="7"/>
  <c r="AZ186" i="7"/>
  <c r="BA186" i="7"/>
  <c r="BB186" i="7"/>
  <c r="BC186" i="7"/>
  <c r="BD186" i="7"/>
  <c r="BE186" i="7"/>
  <c r="BF186" i="7"/>
  <c r="BG186" i="7"/>
  <c r="BI186" i="7"/>
  <c r="BJ186" i="7"/>
  <c r="BK186" i="7"/>
  <c r="BL186" i="7"/>
  <c r="BM186" i="7"/>
  <c r="BN186" i="7"/>
  <c r="BO186" i="7"/>
  <c r="BP186" i="7"/>
  <c r="BQ186" i="7"/>
  <c r="AX187" i="7"/>
  <c r="AY187" i="7" s="1"/>
  <c r="AZ187" i="7"/>
  <c r="BA187" i="7" s="1"/>
  <c r="BB187" i="7"/>
  <c r="BC187" i="7" s="1"/>
  <c r="BD187" i="7"/>
  <c r="BE187" i="7" s="1"/>
  <c r="BG187" i="7"/>
  <c r="BH187" i="7"/>
  <c r="BI187" i="7"/>
  <c r="BJ187" i="7"/>
  <c r="BK187" i="7"/>
  <c r="BL187" i="7"/>
  <c r="BM187" i="7"/>
  <c r="BN187" i="7"/>
  <c r="BO187" i="7"/>
  <c r="BP187" i="7"/>
  <c r="BQ187" i="7"/>
  <c r="AW188" i="7"/>
  <c r="AX188" i="7"/>
  <c r="AY188" i="7"/>
  <c r="AZ188" i="7"/>
  <c r="BA188" i="7"/>
  <c r="BB188" i="7"/>
  <c r="BC188" i="7"/>
  <c r="BD188" i="7"/>
  <c r="BE188" i="7"/>
  <c r="BF188" i="7"/>
  <c r="BG188" i="7"/>
  <c r="BH188" i="7"/>
  <c r="BI188" i="7"/>
  <c r="BJ188" i="7"/>
  <c r="BK188" i="7"/>
  <c r="BL188" i="7"/>
  <c r="BM188" i="7"/>
  <c r="BN188" i="7"/>
  <c r="BO188" i="7"/>
  <c r="BP188" i="7"/>
  <c r="BQ188" i="7"/>
  <c r="AX189" i="7"/>
  <c r="AY189" i="7" s="1"/>
  <c r="AZ189" i="7"/>
  <c r="BA189" i="7" s="1"/>
  <c r="BB189" i="7"/>
  <c r="BC189" i="7" s="1"/>
  <c r="BD189" i="7"/>
  <c r="BE189" i="7" s="1"/>
  <c r="BG189" i="7"/>
  <c r="BH189" i="7"/>
  <c r="BI189" i="7"/>
  <c r="BJ189" i="7"/>
  <c r="BK189" i="7"/>
  <c r="BL189" i="7"/>
  <c r="BM189" i="7"/>
  <c r="BN189" i="7"/>
  <c r="BO189" i="7"/>
  <c r="BP189" i="7"/>
  <c r="AW190" i="7"/>
  <c r="AX190" i="7"/>
  <c r="AY190" i="7"/>
  <c r="AZ190" i="7"/>
  <c r="BA190" i="7"/>
  <c r="BB190" i="7"/>
  <c r="BC190" i="7"/>
  <c r="BD190" i="7"/>
  <c r="BE190" i="7"/>
  <c r="BF190" i="7"/>
  <c r="BG190" i="7"/>
  <c r="BH190" i="7"/>
  <c r="BI190" i="7"/>
  <c r="BJ190" i="7"/>
  <c r="BK190" i="7"/>
  <c r="BL190" i="7"/>
  <c r="BM190" i="7"/>
  <c r="BN190" i="7"/>
  <c r="BO190" i="7"/>
  <c r="BP190" i="7"/>
  <c r="BQ190" i="7"/>
  <c r="AX191" i="7"/>
  <c r="AY191" i="7" s="1"/>
  <c r="AZ191" i="7"/>
  <c r="BA191" i="7" s="1"/>
  <c r="BB191" i="7"/>
  <c r="BC191" i="7" s="1"/>
  <c r="BD191" i="7"/>
  <c r="BE191" i="7" s="1"/>
  <c r="BF191" i="7"/>
  <c r="BH191" i="7"/>
  <c r="BI191" i="7"/>
  <c r="BJ191" i="7"/>
  <c r="BK191" i="7"/>
  <c r="BL191" i="7"/>
  <c r="BM191" i="7"/>
  <c r="BN191" i="7"/>
  <c r="BO191" i="7"/>
  <c r="BP191" i="7"/>
  <c r="BQ191" i="7"/>
  <c r="AW192" i="7"/>
  <c r="AX192" i="7"/>
  <c r="AY192" i="7"/>
  <c r="AZ192" i="7"/>
  <c r="BA192" i="7"/>
  <c r="BB192" i="7"/>
  <c r="BC192" i="7"/>
  <c r="BD192" i="7"/>
  <c r="BE192" i="7"/>
  <c r="BF192" i="7"/>
  <c r="BG192" i="7"/>
  <c r="BH192" i="7"/>
  <c r="BI192" i="7"/>
  <c r="BJ192" i="7"/>
  <c r="BK192" i="7"/>
  <c r="BL192" i="7"/>
  <c r="BM192" i="7"/>
  <c r="BN192" i="7"/>
  <c r="BO192" i="7"/>
  <c r="BP192" i="7"/>
  <c r="BQ192" i="7"/>
  <c r="AW193" i="7"/>
  <c r="AX193" i="7"/>
  <c r="AY193" i="7"/>
  <c r="AZ193" i="7"/>
  <c r="BA193" i="7"/>
  <c r="BB193" i="7"/>
  <c r="BC193" i="7"/>
  <c r="BD193" i="7"/>
  <c r="BE193" i="7"/>
  <c r="BG193" i="7"/>
  <c r="BH193" i="7"/>
  <c r="BI193" i="7"/>
  <c r="BJ193" i="7"/>
  <c r="BK193" i="7"/>
  <c r="BL193" i="7"/>
  <c r="BM193" i="7"/>
  <c r="BN193" i="7"/>
  <c r="BO193" i="7"/>
  <c r="BP193" i="7"/>
  <c r="BQ193" i="7"/>
  <c r="AW194" i="7"/>
  <c r="AX194" i="7"/>
  <c r="AY194" i="7"/>
  <c r="AZ194" i="7"/>
  <c r="BA194" i="7"/>
  <c r="BB194" i="7"/>
  <c r="BC194" i="7"/>
  <c r="BD194" i="7"/>
  <c r="BE194" i="7"/>
  <c r="BF194" i="7"/>
  <c r="BG194" i="7"/>
  <c r="BI194" i="7"/>
  <c r="BJ194" i="7"/>
  <c r="BK194" i="7"/>
  <c r="BL194" i="7"/>
  <c r="BM194" i="7"/>
  <c r="BN194" i="7"/>
  <c r="BO194" i="7"/>
  <c r="BP194" i="7"/>
  <c r="BQ194" i="7"/>
  <c r="AX195" i="7"/>
  <c r="AY195" i="7" s="1"/>
  <c r="AZ195" i="7"/>
  <c r="BA195" i="7" s="1"/>
  <c r="BB195" i="7"/>
  <c r="BC195" i="7" s="1"/>
  <c r="BD195" i="7"/>
  <c r="BE195" i="7" s="1"/>
  <c r="BG195" i="7"/>
  <c r="BH195" i="7"/>
  <c r="BI195" i="7"/>
  <c r="BJ195" i="7"/>
  <c r="BK195" i="7"/>
  <c r="BL195" i="7"/>
  <c r="BN195" i="7"/>
  <c r="BO195" i="7"/>
  <c r="BP195" i="7"/>
  <c r="BQ195" i="7"/>
  <c r="AW196" i="7"/>
  <c r="AX196" i="7"/>
  <c r="AY196" i="7"/>
  <c r="AZ196" i="7"/>
  <c r="BA196" i="7"/>
  <c r="BB196" i="7"/>
  <c r="BC196" i="7"/>
  <c r="BD196" i="7"/>
  <c r="BE196" i="7"/>
  <c r="BF196" i="7"/>
  <c r="BG196" i="7"/>
  <c r="BH196" i="7"/>
  <c r="BI196" i="7"/>
  <c r="BJ196" i="7"/>
  <c r="BK196" i="7"/>
  <c r="BL196" i="7"/>
  <c r="BM196" i="7"/>
  <c r="BN196" i="7"/>
  <c r="BO196" i="7"/>
  <c r="BP196" i="7"/>
  <c r="BQ196" i="7"/>
  <c r="AX197" i="7"/>
  <c r="AY197" i="7" s="1"/>
  <c r="AZ197" i="7"/>
  <c r="BA197" i="7" s="1"/>
  <c r="BB197" i="7"/>
  <c r="BC197" i="7" s="1"/>
  <c r="BD197" i="7"/>
  <c r="BE197" i="7" s="1"/>
  <c r="BF197" i="7"/>
  <c r="BH197" i="7"/>
  <c r="BI197" i="7"/>
  <c r="BJ197" i="7"/>
  <c r="BK197" i="7"/>
  <c r="BL197" i="7"/>
  <c r="BM197" i="7"/>
  <c r="BN197" i="7"/>
  <c r="BO197" i="7"/>
  <c r="BP197" i="7"/>
  <c r="BQ197" i="7"/>
  <c r="AW198" i="7"/>
  <c r="AX198" i="7"/>
  <c r="AY198" i="7"/>
  <c r="AZ198" i="7"/>
  <c r="BA198" i="7"/>
  <c r="BB198" i="7"/>
  <c r="BC198" i="7"/>
  <c r="BD198" i="7"/>
  <c r="BE198" i="7"/>
  <c r="BF198" i="7"/>
  <c r="BG198" i="7"/>
  <c r="BH198" i="7"/>
  <c r="BI198" i="7"/>
  <c r="BJ198" i="7"/>
  <c r="BK198" i="7"/>
  <c r="BL198" i="7"/>
  <c r="BM198" i="7"/>
  <c r="BN198" i="7"/>
  <c r="BO198" i="7"/>
  <c r="BP198" i="7"/>
  <c r="BQ198" i="7"/>
  <c r="AX199" i="7"/>
  <c r="AY199" i="7" s="1"/>
  <c r="AZ199" i="7"/>
  <c r="BA199" i="7" s="1"/>
  <c r="BB199" i="7"/>
  <c r="BC199" i="7" s="1"/>
  <c r="BD199" i="7"/>
  <c r="BE199" i="7" s="1"/>
  <c r="BH199" i="7"/>
  <c r="BI199" i="7"/>
  <c r="BJ199" i="7"/>
  <c r="BK199" i="7"/>
  <c r="BL199" i="7"/>
  <c r="BM199" i="7"/>
  <c r="BN199" i="7"/>
  <c r="BO199" i="7"/>
  <c r="BP199" i="7"/>
  <c r="BQ199" i="7"/>
  <c r="AW200" i="7"/>
  <c r="AX200" i="7"/>
  <c r="AY200" i="7"/>
  <c r="AZ200" i="7"/>
  <c r="BA200" i="7"/>
  <c r="BB200" i="7"/>
  <c r="BC200" i="7"/>
  <c r="BD200" i="7"/>
  <c r="BE200" i="7"/>
  <c r="BF200" i="7"/>
  <c r="BG200" i="7"/>
  <c r="BH200" i="7"/>
  <c r="BI200" i="7"/>
  <c r="BJ200" i="7"/>
  <c r="BK200" i="7"/>
  <c r="BL200" i="7"/>
  <c r="BM200" i="7"/>
  <c r="BN200" i="7"/>
  <c r="BO200" i="7"/>
  <c r="BP200" i="7"/>
  <c r="BQ200" i="7"/>
  <c r="AW201" i="7"/>
  <c r="AX201" i="7"/>
  <c r="AY201" i="7" s="1"/>
  <c r="AZ201" i="7"/>
  <c r="BA201" i="7" s="1"/>
  <c r="BB201" i="7"/>
  <c r="BC201" i="7" s="1"/>
  <c r="BD201" i="7"/>
  <c r="BE201" i="7" s="1"/>
  <c r="BF201" i="7"/>
  <c r="BH201" i="7"/>
  <c r="BI201" i="7"/>
  <c r="BJ201" i="7"/>
  <c r="BK201" i="7"/>
  <c r="BL201" i="7"/>
  <c r="BM201" i="7"/>
  <c r="BN201" i="7"/>
  <c r="BO201" i="7"/>
  <c r="BP201" i="7"/>
  <c r="BQ201" i="7"/>
  <c r="AW202" i="7"/>
  <c r="AX202" i="7"/>
  <c r="AY202" i="7"/>
  <c r="AZ202" i="7"/>
  <c r="BA202" i="7"/>
  <c r="BB202" i="7"/>
  <c r="BC202" i="7"/>
  <c r="BD202" i="7"/>
  <c r="BE202" i="7"/>
  <c r="BF202" i="7"/>
  <c r="BG202" i="7"/>
  <c r="BH202" i="7"/>
  <c r="BI202" i="7"/>
  <c r="BJ202" i="7"/>
  <c r="BK202" i="7"/>
  <c r="BL202" i="7"/>
  <c r="BM202" i="7"/>
  <c r="BN202" i="7"/>
  <c r="BO202" i="7"/>
  <c r="BP202" i="7"/>
  <c r="BQ202" i="7"/>
  <c r="AX203" i="7"/>
  <c r="AY203" i="7" s="1"/>
  <c r="AZ203" i="7"/>
  <c r="BA203" i="7" s="1"/>
  <c r="BB203" i="7"/>
  <c r="BC203" i="7" s="1"/>
  <c r="BD203" i="7"/>
  <c r="BE203" i="7" s="1"/>
  <c r="BG203" i="7"/>
  <c r="BH203" i="7"/>
  <c r="BI203" i="7"/>
  <c r="BJ203" i="7"/>
  <c r="BK203" i="7"/>
  <c r="BL203" i="7"/>
  <c r="BM203" i="7"/>
  <c r="BN203" i="7"/>
  <c r="BO203" i="7"/>
  <c r="BP203" i="7"/>
  <c r="BQ203" i="7"/>
  <c r="AW204" i="7"/>
  <c r="AX204" i="7"/>
  <c r="AY204" i="7"/>
  <c r="AZ204" i="7"/>
  <c r="BA204" i="7"/>
  <c r="BB204" i="7"/>
  <c r="BC204" i="7"/>
  <c r="BD204" i="7"/>
  <c r="BE204" i="7"/>
  <c r="BF204" i="7"/>
  <c r="BG204" i="7"/>
  <c r="BH204" i="7"/>
  <c r="BI204" i="7"/>
  <c r="BJ204" i="7"/>
  <c r="BK204" i="7"/>
  <c r="BL204" i="7"/>
  <c r="BM204" i="7"/>
  <c r="BN204" i="7"/>
  <c r="BO204" i="7"/>
  <c r="BP204" i="7"/>
  <c r="BQ204" i="7"/>
  <c r="AX5" i="7"/>
  <c r="AZ5" i="7"/>
  <c r="BB5" i="7"/>
  <c r="BD5" i="7"/>
  <c r="BG5" i="7"/>
  <c r="BH5" i="7"/>
  <c r="BI5" i="7"/>
  <c r="BJ5" i="7"/>
  <c r="BK5" i="7"/>
  <c r="BL5" i="7"/>
  <c r="BN5" i="7"/>
  <c r="BO5" i="7"/>
  <c r="BP5" i="7"/>
  <c r="AW6" i="7"/>
  <c r="AX6" i="7"/>
  <c r="AY6" i="7"/>
  <c r="AZ6" i="7"/>
  <c r="BA6" i="7"/>
  <c r="BB6" i="7"/>
  <c r="BC6" i="7"/>
  <c r="BD6" i="7"/>
  <c r="BE6" i="7"/>
  <c r="BF6" i="7"/>
  <c r="BG6" i="7"/>
  <c r="BI6" i="7"/>
  <c r="BJ6" i="7"/>
  <c r="BK6" i="7"/>
  <c r="BL6" i="7"/>
  <c r="BM6" i="7"/>
  <c r="BN6" i="7"/>
  <c r="BO6" i="7"/>
  <c r="BP6" i="7"/>
  <c r="BQ6" i="7"/>
  <c r="AX7" i="7"/>
  <c r="AY7" i="7" s="1"/>
  <c r="AZ7" i="7"/>
  <c r="BA7" i="7" s="1"/>
  <c r="BB7" i="7"/>
  <c r="BC7" i="7" s="1"/>
  <c r="BD7" i="7"/>
  <c r="BE7" i="7" s="1"/>
  <c r="BG7" i="7"/>
  <c r="BH7" i="7"/>
  <c r="BI7" i="7"/>
  <c r="BJ7" i="7"/>
  <c r="BK7" i="7"/>
  <c r="BL7" i="7"/>
  <c r="BM7" i="7"/>
  <c r="BN7" i="7"/>
  <c r="BO7" i="7"/>
  <c r="BP7" i="7"/>
  <c r="BQ7" i="7"/>
  <c r="AW8" i="7"/>
  <c r="AX8" i="7"/>
  <c r="AY8" i="7"/>
  <c r="AZ8" i="7"/>
  <c r="BA8" i="7"/>
  <c r="BB8" i="7"/>
  <c r="BC8" i="7"/>
  <c r="BD8" i="7"/>
  <c r="BE8" i="7"/>
  <c r="BF8" i="7"/>
  <c r="BG8" i="7"/>
  <c r="BI8" i="7"/>
  <c r="BJ8" i="7"/>
  <c r="BK8" i="7"/>
  <c r="BL8" i="7"/>
  <c r="BM8" i="7"/>
  <c r="BN8" i="7"/>
  <c r="BO8" i="7"/>
  <c r="BP8" i="7"/>
  <c r="BQ8" i="7"/>
  <c r="BQ4" i="7"/>
  <c r="BP4" i="7"/>
  <c r="BO4" i="7"/>
  <c r="BN4" i="7"/>
  <c r="BM4" i="7"/>
  <c r="BL4" i="7"/>
  <c r="BK4" i="7"/>
  <c r="BJ4" i="7"/>
  <c r="BI4" i="7"/>
  <c r="BH4" i="7"/>
  <c r="BG4" i="7"/>
  <c r="BF4" i="7"/>
  <c r="BE4" i="7"/>
  <c r="BD4" i="7"/>
  <c r="BC4" i="7"/>
  <c r="BB4" i="7"/>
  <c r="BA4" i="7"/>
  <c r="AZ4" i="7"/>
  <c r="AY4" i="7"/>
  <c r="AX4" i="7"/>
  <c r="BO205" i="7" l="1"/>
  <c r="BJ205" i="7"/>
  <c r="BE5" i="7"/>
  <c r="BE205" i="7" s="1"/>
  <c r="BD205" i="7"/>
  <c r="BP205" i="7"/>
  <c r="BN205" i="7"/>
  <c r="BK205" i="7"/>
  <c r="BI205" i="7"/>
  <c r="BC5" i="7"/>
  <c r="BC205" i="7" s="1"/>
  <c r="BB205" i="7"/>
  <c r="AY5" i="7"/>
  <c r="AY205" i="7" s="1"/>
  <c r="AX205" i="7"/>
  <c r="AW5" i="7"/>
  <c r="AW205" i="7" s="1"/>
  <c r="AV205" i="7"/>
  <c r="BL205" i="7"/>
  <c r="BA5" i="7"/>
  <c r="BA205" i="7" s="1"/>
  <c r="AZ205" i="7"/>
  <c r="J5" i="22"/>
  <c r="AQ11" i="13"/>
  <c r="CE28" i="22" l="1"/>
  <c r="CD28" i="22"/>
  <c r="CC28" i="22"/>
  <c r="CB28" i="22"/>
  <c r="CA28" i="22"/>
  <c r="BY28" i="22"/>
  <c r="BX28" i="22"/>
  <c r="BW28" i="22"/>
  <c r="BV28" i="22"/>
  <c r="BT28" i="22"/>
  <c r="BS28" i="22"/>
  <c r="BR28" i="22"/>
  <c r="BQ28" i="22"/>
  <c r="BP28" i="22"/>
  <c r="BO28" i="22"/>
  <c r="BN28" i="22"/>
  <c r="BM28" i="22"/>
  <c r="BL28" i="22"/>
  <c r="BK28" i="22"/>
  <c r="AI28" i="22"/>
  <c r="J28" i="22"/>
  <c r="C28" i="22"/>
  <c r="CF22" i="22"/>
  <c r="CE22" i="22"/>
  <c r="CD22" i="22"/>
  <c r="CC22" i="22"/>
  <c r="CB22" i="22"/>
  <c r="CA22" i="22"/>
  <c r="BZ22" i="22"/>
  <c r="BY22" i="22"/>
  <c r="BX22" i="22"/>
  <c r="BV22" i="22"/>
  <c r="BS22" i="22"/>
  <c r="BT22" i="22" s="1"/>
  <c r="BQ22" i="22"/>
  <c r="BR22" i="22" s="1"/>
  <c r="BO22" i="22"/>
  <c r="BP22" i="22" s="1"/>
  <c r="BM22" i="22"/>
  <c r="BN22" i="22" s="1"/>
  <c r="BL22" i="22"/>
  <c r="BK22" i="22"/>
  <c r="AI22" i="22"/>
  <c r="J22" i="22"/>
  <c r="C22" i="22"/>
  <c r="CF21" i="22"/>
  <c r="CE21" i="22"/>
  <c r="CD21" i="22"/>
  <c r="CC21" i="22"/>
  <c r="CB21" i="22"/>
  <c r="CA21" i="22"/>
  <c r="BY21" i="22"/>
  <c r="BX21" i="22"/>
  <c r="BW21" i="22"/>
  <c r="BV21" i="22"/>
  <c r="BS21" i="22"/>
  <c r="BT21" i="22" s="1"/>
  <c r="BQ21" i="22"/>
  <c r="BR21" i="22" s="1"/>
  <c r="BO21" i="22"/>
  <c r="BP21" i="22" s="1"/>
  <c r="BM21" i="22"/>
  <c r="BN21" i="22" s="1"/>
  <c r="BK21" i="22"/>
  <c r="BL21" i="22" s="1"/>
  <c r="AI21" i="22"/>
  <c r="J21" i="22"/>
  <c r="C21" i="22"/>
  <c r="CE9" i="22" l="1"/>
  <c r="CD9" i="22"/>
  <c r="CC9" i="22"/>
  <c r="CB9" i="22"/>
  <c r="CA9" i="22"/>
  <c r="BZ9" i="22"/>
  <c r="BY9" i="22"/>
  <c r="BX9" i="22"/>
  <c r="BW9" i="22"/>
  <c r="BU9" i="22"/>
  <c r="BS9" i="22"/>
  <c r="BT9" i="22" s="1"/>
  <c r="BQ9" i="22"/>
  <c r="BR9" i="22" s="1"/>
  <c r="BO9" i="22"/>
  <c r="BP9" i="22" s="1"/>
  <c r="BM9" i="22"/>
  <c r="BN9" i="22" s="1"/>
  <c r="BK9" i="22"/>
  <c r="BL9" i="22" s="1"/>
  <c r="AI9" i="22"/>
  <c r="AH9" i="22"/>
  <c r="J9" i="22"/>
  <c r="C9" i="22"/>
  <c r="CE6" i="22"/>
  <c r="CD6" i="22"/>
  <c r="CC6" i="22"/>
  <c r="CB6" i="22"/>
  <c r="CA6" i="22"/>
  <c r="BZ6" i="22"/>
  <c r="BY6" i="22"/>
  <c r="BX6" i="22"/>
  <c r="BW6" i="22"/>
  <c r="BV6" i="22"/>
  <c r="BS6" i="22"/>
  <c r="BT6" i="22" s="1"/>
  <c r="BQ6" i="22"/>
  <c r="BR6" i="22" s="1"/>
  <c r="BO6" i="22"/>
  <c r="BP6" i="22" s="1"/>
  <c r="BM6" i="22"/>
  <c r="BN6" i="22" s="1"/>
  <c r="BK6" i="22"/>
  <c r="BL6" i="22" s="1"/>
  <c r="AI6" i="22"/>
  <c r="J6" i="22"/>
  <c r="C6" i="22"/>
  <c r="C5" i="22"/>
  <c r="AI5" i="22"/>
  <c r="BK5" i="22"/>
  <c r="BL5" i="22" s="1"/>
  <c r="BM5" i="22"/>
  <c r="BN5" i="22" s="1"/>
  <c r="BO5" i="22"/>
  <c r="BP5" i="22" s="1"/>
  <c r="BQ5" i="22"/>
  <c r="BR5" i="22" s="1"/>
  <c r="BS5" i="22"/>
  <c r="BT5" i="22" s="1"/>
  <c r="BV5" i="22"/>
  <c r="BW5" i="22"/>
  <c r="BX5" i="22"/>
  <c r="BY5" i="22"/>
  <c r="BZ5" i="22"/>
  <c r="CA5" i="22"/>
  <c r="CB5" i="22"/>
  <c r="CC5" i="22"/>
  <c r="CD5" i="22"/>
  <c r="CE5" i="22"/>
  <c r="AK122" i="7"/>
  <c r="AL122" i="7" s="1"/>
  <c r="AJ122" i="7"/>
  <c r="AI122" i="7"/>
  <c r="AG122" i="7"/>
  <c r="AF122" i="7"/>
  <c r="AE122" i="7"/>
  <c r="AD122" i="7"/>
  <c r="AC122" i="7"/>
  <c r="AB122" i="7"/>
  <c r="AA122" i="7"/>
  <c r="P122" i="7"/>
  <c r="J122" i="7"/>
  <c r="BH122" i="7" l="1"/>
  <c r="AA9" i="22"/>
  <c r="B6" i="22"/>
  <c r="BU5" i="22"/>
  <c r="AH5" i="22"/>
  <c r="AA5" i="22"/>
  <c r="V122" i="7"/>
  <c r="Z122" i="7"/>
  <c r="AS122" i="7" s="1"/>
  <c r="AH122" i="7"/>
  <c r="AA6" i="31" l="1"/>
  <c r="AA7" i="31"/>
  <c r="AA10" i="31"/>
  <c r="AA11" i="31"/>
  <c r="AA12" i="31"/>
  <c r="AA13" i="31"/>
  <c r="AA14" i="31"/>
  <c r="AB80" i="31"/>
  <c r="Z80" i="31"/>
  <c r="AA80" i="31" s="1"/>
  <c r="Y80" i="31"/>
  <c r="X80" i="31"/>
  <c r="H25" i="35" l="1"/>
  <c r="D20" i="35"/>
  <c r="D19" i="35"/>
  <c r="E21" i="35" s="1"/>
  <c r="H18" i="35"/>
  <c r="J13" i="35"/>
  <c r="J14" i="35" s="1"/>
  <c r="H13" i="35" s="1"/>
  <c r="K12" i="35"/>
  <c r="I12" i="35"/>
  <c r="K11" i="35"/>
  <c r="I11" i="35"/>
  <c r="I10" i="35"/>
  <c r="I9" i="35"/>
  <c r="I8" i="35"/>
  <c r="I7" i="35"/>
  <c r="I6" i="35"/>
  <c r="BM48" i="34"/>
  <c r="BN44" i="34"/>
  <c r="BM44" i="34"/>
  <c r="D30" i="34"/>
  <c r="BN43" i="34"/>
  <c r="BM43" i="34"/>
  <c r="BM42" i="34"/>
  <c r="BN41" i="34"/>
  <c r="BN40" i="34"/>
  <c r="BM40" i="34"/>
  <c r="BN39" i="34"/>
  <c r="BN38" i="34"/>
  <c r="BN37" i="34"/>
  <c r="BS32" i="34"/>
  <c r="BJ29" i="34"/>
  <c r="BJ21" i="34"/>
  <c r="BK30" i="34"/>
  <c r="CD18" i="34"/>
  <c r="CC18" i="34"/>
  <c r="CB18" i="34"/>
  <c r="CA18" i="34"/>
  <c r="BZ18" i="34"/>
  <c r="BY18" i="34"/>
  <c r="BX18" i="34"/>
  <c r="BW18" i="34"/>
  <c r="BV18" i="34"/>
  <c r="BU18" i="34"/>
  <c r="BR18" i="34"/>
  <c r="BS18" i="34" s="1"/>
  <c r="BP18" i="34"/>
  <c r="BQ18" i="34" s="1"/>
  <c r="BN18" i="34"/>
  <c r="BO18" i="34" s="1"/>
  <c r="BL18" i="34"/>
  <c r="BM18" i="34" s="1"/>
  <c r="BJ18" i="34"/>
  <c r="BK18" i="34" s="1"/>
  <c r="AJ18" i="34"/>
  <c r="AI18" i="34"/>
  <c r="I18" i="34"/>
  <c r="CD17" i="34"/>
  <c r="CC17" i="34"/>
  <c r="CB17" i="34"/>
  <c r="CA17" i="34"/>
  <c r="BZ17" i="34"/>
  <c r="BY17" i="34"/>
  <c r="BX17" i="34"/>
  <c r="BW17" i="34"/>
  <c r="BV17" i="34"/>
  <c r="BU17" i="34"/>
  <c r="BT17" i="34"/>
  <c r="BR17" i="34"/>
  <c r="BS17" i="34" s="1"/>
  <c r="BP17" i="34"/>
  <c r="BQ17" i="34" s="1"/>
  <c r="BN17" i="34"/>
  <c r="BO17" i="34" s="1"/>
  <c r="BL17" i="34"/>
  <c r="BM17" i="34" s="1"/>
  <c r="BJ17" i="34"/>
  <c r="BK17" i="34" s="1"/>
  <c r="AJ17" i="34"/>
  <c r="AI17" i="34"/>
  <c r="AB17" i="34"/>
  <c r="I17" i="34"/>
  <c r="CD16" i="34"/>
  <c r="CC16" i="34"/>
  <c r="CB16" i="34"/>
  <c r="CA16" i="34"/>
  <c r="BZ16" i="34"/>
  <c r="BY16" i="34"/>
  <c r="BX16" i="34"/>
  <c r="BW16" i="34"/>
  <c r="BV16" i="34"/>
  <c r="BU16" i="34"/>
  <c r="BR16" i="34"/>
  <c r="BS16" i="34" s="1"/>
  <c r="BP16" i="34"/>
  <c r="BQ16" i="34" s="1"/>
  <c r="BN16" i="34"/>
  <c r="BO16" i="34" s="1"/>
  <c r="BL16" i="34"/>
  <c r="BM16" i="34" s="1"/>
  <c r="BJ16" i="34"/>
  <c r="BK16" i="34" s="1"/>
  <c r="AJ16" i="34"/>
  <c r="I16" i="34"/>
  <c r="CE15" i="34"/>
  <c r="CD15" i="34"/>
  <c r="CC15" i="34"/>
  <c r="CB15" i="34"/>
  <c r="CA15" i="34"/>
  <c r="BZ15" i="34"/>
  <c r="BY15" i="34"/>
  <c r="BX15" i="34"/>
  <c r="BW15" i="34"/>
  <c r="BV15" i="34"/>
  <c r="BT15" i="34"/>
  <c r="BR15" i="34"/>
  <c r="BS15" i="34" s="1"/>
  <c r="BP15" i="34"/>
  <c r="BQ15" i="34" s="1"/>
  <c r="BN15" i="34"/>
  <c r="BO15" i="34" s="1"/>
  <c r="BL15" i="34"/>
  <c r="BM15" i="34" s="1"/>
  <c r="BJ15" i="34"/>
  <c r="BK15" i="34" s="1"/>
  <c r="AJ15" i="34"/>
  <c r="AB15" i="34"/>
  <c r="AI15" i="34"/>
  <c r="I15" i="34"/>
  <c r="CD14" i="34"/>
  <c r="CC14" i="34"/>
  <c r="CB14" i="34"/>
  <c r="CA14" i="34"/>
  <c r="BZ14" i="34"/>
  <c r="BY14" i="34"/>
  <c r="BX14" i="34"/>
  <c r="BW14" i="34"/>
  <c r="BV14" i="34"/>
  <c r="BU14" i="34"/>
  <c r="BT14" i="34"/>
  <c r="BR14" i="34"/>
  <c r="BS14" i="34" s="1"/>
  <c r="BP14" i="34"/>
  <c r="BQ14" i="34" s="1"/>
  <c r="BN14" i="34"/>
  <c r="BO14" i="34" s="1"/>
  <c r="BL14" i="34"/>
  <c r="BM14" i="34" s="1"/>
  <c r="BJ14" i="34"/>
  <c r="BK14" i="34" s="1"/>
  <c r="AJ14" i="34"/>
  <c r="AB14" i="34"/>
  <c r="AI14" i="34"/>
  <c r="I14" i="34"/>
  <c r="CD13" i="34"/>
  <c r="CC13" i="34"/>
  <c r="CB13" i="34"/>
  <c r="CA13" i="34"/>
  <c r="BZ13" i="34"/>
  <c r="BY13" i="34"/>
  <c r="BX13" i="34"/>
  <c r="BW13" i="34"/>
  <c r="BV13" i="34"/>
  <c r="BR13" i="34"/>
  <c r="BS13" i="34" s="1"/>
  <c r="BP13" i="34"/>
  <c r="BQ13" i="34" s="1"/>
  <c r="BN13" i="34"/>
  <c r="BO13" i="34" s="1"/>
  <c r="BL13" i="34"/>
  <c r="BM13" i="34" s="1"/>
  <c r="BJ13" i="34"/>
  <c r="BK13" i="34" s="1"/>
  <c r="AJ13" i="34"/>
  <c r="CE13" i="34"/>
  <c r="I13" i="34"/>
  <c r="CD11" i="34"/>
  <c r="CC11" i="34"/>
  <c r="CB11" i="34"/>
  <c r="CA11" i="34"/>
  <c r="BZ11" i="34"/>
  <c r="BY11" i="34"/>
  <c r="BX11" i="34"/>
  <c r="BW11" i="34"/>
  <c r="BV11" i="34"/>
  <c r="BR11" i="34"/>
  <c r="BS11" i="34" s="1"/>
  <c r="BP11" i="34"/>
  <c r="BQ11" i="34" s="1"/>
  <c r="BN11" i="34"/>
  <c r="BL11" i="34"/>
  <c r="BM11" i="34" s="1"/>
  <c r="BJ11" i="34"/>
  <c r="BK11" i="34" s="1"/>
  <c r="AJ11" i="34"/>
  <c r="AI11" i="34"/>
  <c r="CE11" i="34"/>
  <c r="I11" i="34"/>
  <c r="CD10" i="34"/>
  <c r="CC10" i="34"/>
  <c r="CB10" i="34"/>
  <c r="CA10" i="34"/>
  <c r="BZ10" i="34"/>
  <c r="BY10" i="34"/>
  <c r="BX10" i="34"/>
  <c r="BW10" i="34"/>
  <c r="BV10" i="34"/>
  <c r="BR10" i="34"/>
  <c r="BS10" i="34" s="1"/>
  <c r="BP10" i="34"/>
  <c r="BQ10" i="34" s="1"/>
  <c r="BN10" i="34"/>
  <c r="BO10" i="34" s="1"/>
  <c r="BL10" i="34"/>
  <c r="BM10" i="34" s="1"/>
  <c r="BJ10" i="34"/>
  <c r="BK10" i="34" s="1"/>
  <c r="AJ10" i="34"/>
  <c r="BT10" i="34"/>
  <c r="CE10" i="34"/>
  <c r="I10" i="34"/>
  <c r="CD9" i="34"/>
  <c r="CC9" i="34"/>
  <c r="CB9" i="34"/>
  <c r="CA9" i="34"/>
  <c r="BZ9" i="34"/>
  <c r="BY9" i="34"/>
  <c r="BX9" i="34"/>
  <c r="BW9" i="34"/>
  <c r="BV9" i="34"/>
  <c r="BT9" i="34"/>
  <c r="BR9" i="34"/>
  <c r="BS9" i="34" s="1"/>
  <c r="BP9" i="34"/>
  <c r="BQ9" i="34" s="1"/>
  <c r="BN9" i="34"/>
  <c r="BO9" i="34" s="1"/>
  <c r="BL9" i="34"/>
  <c r="BM9" i="34" s="1"/>
  <c r="BJ9" i="34"/>
  <c r="BK9" i="34" s="1"/>
  <c r="AJ9" i="34"/>
  <c r="CE9" i="34"/>
  <c r="I9" i="34"/>
  <c r="CE8" i="34"/>
  <c r="CD8" i="34"/>
  <c r="CC8" i="34"/>
  <c r="CB8" i="34"/>
  <c r="CA8" i="34"/>
  <c r="BZ8" i="34"/>
  <c r="BY8" i="34"/>
  <c r="BX8" i="34"/>
  <c r="BW8" i="34"/>
  <c r="BV8" i="34"/>
  <c r="BR8" i="34"/>
  <c r="BS8" i="34" s="1"/>
  <c r="BP8" i="34"/>
  <c r="BQ8" i="34" s="1"/>
  <c r="BN8" i="34"/>
  <c r="BO8" i="34" s="1"/>
  <c r="BL8" i="34"/>
  <c r="BM8" i="34" s="1"/>
  <c r="BJ8" i="34"/>
  <c r="BK8" i="34" s="1"/>
  <c r="AJ8" i="34"/>
  <c r="BT8" i="34"/>
  <c r="I8" i="34"/>
  <c r="CD6" i="34"/>
  <c r="CC6" i="34"/>
  <c r="CB6" i="34"/>
  <c r="CA6" i="34"/>
  <c r="BZ6" i="34"/>
  <c r="BY6" i="34"/>
  <c r="BX6" i="34"/>
  <c r="BW6" i="34"/>
  <c r="BR6" i="34"/>
  <c r="BS6" i="34" s="1"/>
  <c r="BP6" i="34"/>
  <c r="BQ6" i="34" s="1"/>
  <c r="BN6" i="34"/>
  <c r="BO6" i="34" s="1"/>
  <c r="BL6" i="34"/>
  <c r="BM6" i="34" s="1"/>
  <c r="BJ6" i="34"/>
  <c r="BK6" i="34" s="1"/>
  <c r="AJ6" i="34"/>
  <c r="CE6" i="34"/>
  <c r="I6" i="34"/>
  <c r="CD7" i="34"/>
  <c r="CC7" i="34"/>
  <c r="CB7" i="34"/>
  <c r="CA7" i="34"/>
  <c r="BZ7" i="34"/>
  <c r="BY7" i="34"/>
  <c r="BX7" i="34"/>
  <c r="BW7" i="34"/>
  <c r="BV7" i="34"/>
  <c r="BR7" i="34"/>
  <c r="BS7" i="34" s="1"/>
  <c r="BP7" i="34"/>
  <c r="BQ7" i="34" s="1"/>
  <c r="BN7" i="34"/>
  <c r="BO7" i="34" s="1"/>
  <c r="BL7" i="34"/>
  <c r="BM7" i="34" s="1"/>
  <c r="BJ7" i="34"/>
  <c r="BK7" i="34" s="1"/>
  <c r="AJ7" i="34"/>
  <c r="CE7" i="34"/>
  <c r="I7" i="34"/>
  <c r="CD5" i="34"/>
  <c r="CC5" i="34"/>
  <c r="CB5" i="34"/>
  <c r="CA5" i="34"/>
  <c r="BZ5" i="34"/>
  <c r="BY5" i="34"/>
  <c r="BX5" i="34"/>
  <c r="BW5" i="34"/>
  <c r="BV5" i="34"/>
  <c r="BR5" i="34"/>
  <c r="BS5" i="34" s="1"/>
  <c r="BP5" i="34"/>
  <c r="BQ5" i="34" s="1"/>
  <c r="BN5" i="34"/>
  <c r="BO5" i="34" s="1"/>
  <c r="BL5" i="34"/>
  <c r="BM5" i="34" s="1"/>
  <c r="BJ5" i="34"/>
  <c r="BK5" i="34" s="1"/>
  <c r="AJ5" i="34"/>
  <c r="CE5" i="34"/>
  <c r="I5" i="34"/>
  <c r="AT4" i="34"/>
  <c r="AU4" i="34" s="1"/>
  <c r="AV4" i="34" s="1"/>
  <c r="AW4" i="34" s="1"/>
  <c r="AX4" i="34" s="1"/>
  <c r="AY4" i="34" s="1"/>
  <c r="AZ4" i="34" s="1"/>
  <c r="BA4" i="34" s="1"/>
  <c r="BB4" i="34" s="1"/>
  <c r="BC4" i="34" s="1"/>
  <c r="BD4" i="34" s="1"/>
  <c r="BE4" i="34" s="1"/>
  <c r="BF4" i="34" s="1"/>
  <c r="BG4" i="34" s="1"/>
  <c r="AJ19" i="34" l="1"/>
  <c r="E20" i="35"/>
  <c r="AI13" i="34"/>
  <c r="AB13" i="34"/>
  <c r="BT13" i="34"/>
  <c r="BT11" i="34"/>
  <c r="AB11" i="34"/>
  <c r="AI9" i="34"/>
  <c r="BV6" i="34"/>
  <c r="BV19" i="34" s="1"/>
  <c r="BM39" i="34"/>
  <c r="BO39" i="34" s="1"/>
  <c r="BW19" i="34"/>
  <c r="BY19" i="34"/>
  <c r="CA19" i="34"/>
  <c r="CC19" i="34"/>
  <c r="BO40" i="34"/>
  <c r="BO43" i="34"/>
  <c r="BO44" i="34"/>
  <c r="BK19" i="34"/>
  <c r="BM19" i="34"/>
  <c r="BO19" i="34"/>
  <c r="BQ19" i="34"/>
  <c r="BS19" i="34"/>
  <c r="BU11" i="34"/>
  <c r="AB16" i="34"/>
  <c r="AI16" i="34"/>
  <c r="BT16" i="34"/>
  <c r="AB9" i="34"/>
  <c r="BU13" i="34"/>
  <c r="AB18" i="34"/>
  <c r="BT18" i="34"/>
  <c r="BJ19" i="34"/>
  <c r="BL19" i="34"/>
  <c r="BN19" i="34"/>
  <c r="BP19" i="34"/>
  <c r="BR19" i="34"/>
  <c r="BZ19" i="34"/>
  <c r="CB19" i="34"/>
  <c r="CD19" i="34"/>
  <c r="BM41" i="34"/>
  <c r="BO41" i="34" s="1"/>
  <c r="BX19" i="34"/>
  <c r="BK26" i="34" l="1"/>
  <c r="BQ28" i="34"/>
  <c r="BR20" i="34"/>
  <c r="BN20" i="34"/>
  <c r="BQ26" i="34"/>
  <c r="BQ27" i="34"/>
  <c r="BP20" i="34"/>
  <c r="BQ25" i="34"/>
  <c r="BL20" i="34"/>
  <c r="BU15" i="34"/>
  <c r="BQ20" i="34"/>
  <c r="BO20" i="34"/>
  <c r="BJ20" i="34"/>
  <c r="BQ24" i="34"/>
  <c r="BM20" i="34"/>
  <c r="BS20" i="34"/>
  <c r="BK20" i="34"/>
  <c r="BS28" i="34" l="1"/>
  <c r="BQ29" i="34"/>
  <c r="BR30" i="34" s="1"/>
  <c r="BS26" i="34"/>
  <c r="BS27" i="34"/>
  <c r="BS24" i="34"/>
  <c r="BS25" i="34"/>
  <c r="BR27" i="34" l="1"/>
  <c r="BR28" i="34"/>
  <c r="BR25" i="34"/>
  <c r="BR26" i="34"/>
  <c r="BR24" i="34"/>
  <c r="BR29" i="34" l="1"/>
  <c r="CE30" i="22" l="1"/>
  <c r="CD30" i="22"/>
  <c r="CC30" i="22"/>
  <c r="CB30" i="22"/>
  <c r="CA30" i="22"/>
  <c r="BY30" i="22"/>
  <c r="BX30" i="22"/>
  <c r="BW30" i="22"/>
  <c r="BV30" i="22"/>
  <c r="BS30" i="22"/>
  <c r="BT30" i="22" s="1"/>
  <c r="BQ30" i="22"/>
  <c r="BR30" i="22" s="1"/>
  <c r="BO30" i="22"/>
  <c r="BP30" i="22" s="1"/>
  <c r="BM30" i="22"/>
  <c r="BN30" i="22" s="1"/>
  <c r="BK30" i="22"/>
  <c r="BL30" i="22" s="1"/>
  <c r="AI30" i="22"/>
  <c r="J30" i="22"/>
  <c r="C30" i="22"/>
  <c r="BU30" i="22" l="1"/>
  <c r="CF11" i="22"/>
  <c r="CE11" i="22"/>
  <c r="CD11" i="22"/>
  <c r="CC11" i="22"/>
  <c r="CB11" i="22"/>
  <c r="CA11" i="22"/>
  <c r="BZ11" i="22"/>
  <c r="BY11" i="22"/>
  <c r="BX11" i="22"/>
  <c r="BW11" i="22"/>
  <c r="BU11" i="22"/>
  <c r="BS11" i="22"/>
  <c r="BT11" i="22" s="1"/>
  <c r="BQ11" i="22"/>
  <c r="BR11" i="22" s="1"/>
  <c r="BO11" i="22"/>
  <c r="BP11" i="22" s="1"/>
  <c r="BM11" i="22"/>
  <c r="BN11" i="22" s="1"/>
  <c r="BK11" i="22"/>
  <c r="BL11" i="22" s="1"/>
  <c r="AI11" i="22"/>
  <c r="AH11" i="22"/>
  <c r="J11" i="22"/>
  <c r="C11" i="22"/>
  <c r="AH30" i="22" l="1"/>
  <c r="AA30" i="22"/>
  <c r="AA11" i="22"/>
  <c r="AK194" i="7"/>
  <c r="AL194" i="7" s="1"/>
  <c r="AI194" i="7"/>
  <c r="AG194" i="7"/>
  <c r="AF194" i="7"/>
  <c r="AE194" i="7"/>
  <c r="AD194" i="7"/>
  <c r="AC194" i="7"/>
  <c r="AB194" i="7"/>
  <c r="AA194" i="7"/>
  <c r="BH194" i="7"/>
  <c r="P194" i="7"/>
  <c r="J194" i="7"/>
  <c r="AK188" i="7"/>
  <c r="AL188" i="7" s="1"/>
  <c r="AI188" i="7"/>
  <c r="AG188" i="7"/>
  <c r="AF188" i="7"/>
  <c r="AE188" i="7"/>
  <c r="AD188" i="7"/>
  <c r="AC188" i="7"/>
  <c r="AB188" i="7"/>
  <c r="AA188" i="7"/>
  <c r="P188" i="7"/>
  <c r="J188" i="7"/>
  <c r="AK186" i="7"/>
  <c r="AL186" i="7" s="1"/>
  <c r="AI186" i="7"/>
  <c r="AG186" i="7"/>
  <c r="AF186" i="7"/>
  <c r="AE186" i="7"/>
  <c r="AD186" i="7"/>
  <c r="AC186" i="7"/>
  <c r="AB186" i="7"/>
  <c r="AA186" i="7"/>
  <c r="BH186" i="7"/>
  <c r="P186" i="7"/>
  <c r="J186" i="7"/>
  <c r="AK184" i="7"/>
  <c r="AL184" i="7" s="1"/>
  <c r="AI184" i="7"/>
  <c r="AG184" i="7"/>
  <c r="AF184" i="7"/>
  <c r="AE184" i="7"/>
  <c r="AD184" i="7"/>
  <c r="AC184" i="7"/>
  <c r="AB184" i="7"/>
  <c r="AA184" i="7"/>
  <c r="P184" i="7"/>
  <c r="J184" i="7"/>
  <c r="AK178" i="7"/>
  <c r="AL178" i="7" s="1"/>
  <c r="AI178" i="7"/>
  <c r="AG178" i="7"/>
  <c r="AF178" i="7"/>
  <c r="AE178" i="7"/>
  <c r="AD178" i="7"/>
  <c r="AC178" i="7"/>
  <c r="AB178" i="7"/>
  <c r="AA178" i="7"/>
  <c r="BH178" i="7"/>
  <c r="P178" i="7"/>
  <c r="J178" i="7"/>
  <c r="AK176" i="7"/>
  <c r="AL176" i="7" s="1"/>
  <c r="AI176" i="7"/>
  <c r="AG176" i="7"/>
  <c r="AF176" i="7"/>
  <c r="AE176" i="7"/>
  <c r="AD176" i="7"/>
  <c r="AC176" i="7"/>
  <c r="AB176" i="7"/>
  <c r="AA176" i="7"/>
  <c r="P176" i="7"/>
  <c r="J176" i="7"/>
  <c r="AK174" i="7"/>
  <c r="AL174" i="7" s="1"/>
  <c r="AI174" i="7"/>
  <c r="AG174" i="7"/>
  <c r="AF174" i="7"/>
  <c r="AE174" i="7"/>
  <c r="AD174" i="7"/>
  <c r="AC174" i="7"/>
  <c r="AB174" i="7"/>
  <c r="AA174" i="7"/>
  <c r="P174" i="7"/>
  <c r="J174" i="7"/>
  <c r="AK172" i="7"/>
  <c r="AL172" i="7" s="1"/>
  <c r="AI172" i="7"/>
  <c r="AG172" i="7"/>
  <c r="AF172" i="7"/>
  <c r="AE172" i="7"/>
  <c r="AD172" i="7"/>
  <c r="AC172" i="7"/>
  <c r="AB172" i="7"/>
  <c r="AA172" i="7"/>
  <c r="P172" i="7"/>
  <c r="J172" i="7"/>
  <c r="AK170" i="7"/>
  <c r="AL170" i="7" s="1"/>
  <c r="AI170" i="7"/>
  <c r="AG170" i="7"/>
  <c r="AF170" i="7"/>
  <c r="AE170" i="7"/>
  <c r="AD170" i="7"/>
  <c r="AC170" i="7"/>
  <c r="AB170" i="7"/>
  <c r="AA170" i="7"/>
  <c r="P170" i="7"/>
  <c r="J170" i="7"/>
  <c r="AK162" i="7"/>
  <c r="AL162" i="7" s="1"/>
  <c r="AI162" i="7"/>
  <c r="AG162" i="7"/>
  <c r="AF162" i="7"/>
  <c r="AE162" i="7"/>
  <c r="AD162" i="7"/>
  <c r="AC162" i="7"/>
  <c r="AB162" i="7"/>
  <c r="AA162" i="7"/>
  <c r="BH162" i="7"/>
  <c r="P162" i="7"/>
  <c r="J162" i="7"/>
  <c r="AK160" i="7"/>
  <c r="AL160" i="7" s="1"/>
  <c r="AI160" i="7"/>
  <c r="AG160" i="7"/>
  <c r="AF160" i="7"/>
  <c r="AE160" i="7"/>
  <c r="AD160" i="7"/>
  <c r="AC160" i="7"/>
  <c r="AB160" i="7"/>
  <c r="AA160" i="7"/>
  <c r="P160" i="7"/>
  <c r="J160" i="7"/>
  <c r="AH194" i="7" l="1"/>
  <c r="V194" i="7"/>
  <c r="Z194" i="7"/>
  <c r="AS194" i="7" s="1"/>
  <c r="V188" i="7"/>
  <c r="Z188" i="7"/>
  <c r="AS188" i="7" s="1"/>
  <c r="AH188" i="7"/>
  <c r="AH186" i="7"/>
  <c r="V186" i="7"/>
  <c r="Z186" i="7"/>
  <c r="AS186" i="7" s="1"/>
  <c r="Z184" i="7"/>
  <c r="AS184" i="7" s="1"/>
  <c r="AH184" i="7"/>
  <c r="AH178" i="7"/>
  <c r="V178" i="7"/>
  <c r="Z178" i="7"/>
  <c r="AS178" i="7" s="1"/>
  <c r="AH176" i="7"/>
  <c r="V176" i="7"/>
  <c r="Z176" i="7"/>
  <c r="AS176" i="7" s="1"/>
  <c r="V174" i="7"/>
  <c r="Z174" i="7"/>
  <c r="AS174" i="7" s="1"/>
  <c r="AH174" i="7"/>
  <c r="AH172" i="7"/>
  <c r="Z172" i="7"/>
  <c r="AS172" i="7" s="1"/>
  <c r="AH170" i="7"/>
  <c r="V170" i="7"/>
  <c r="Z170" i="7"/>
  <c r="AS170" i="7" s="1"/>
  <c r="V162" i="7"/>
  <c r="Z162" i="7"/>
  <c r="AS162" i="7" s="1"/>
  <c r="AH162" i="7"/>
  <c r="AH160" i="7"/>
  <c r="U160" i="7"/>
  <c r="AN160" i="7" s="1"/>
  <c r="W160" i="7"/>
  <c r="AP160" i="7" s="1"/>
  <c r="Y160" i="7"/>
  <c r="AR160" i="7" s="1"/>
  <c r="T160" i="7"/>
  <c r="AM160" i="7" s="1"/>
  <c r="V160" i="7"/>
  <c r="X160" i="7"/>
  <c r="AQ160" i="7" s="1"/>
  <c r="Z160" i="7"/>
  <c r="AS160" i="7" s="1"/>
  <c r="AK148" i="7"/>
  <c r="AL148" i="7" s="1"/>
  <c r="AI148" i="7"/>
  <c r="AG148" i="7"/>
  <c r="AF148" i="7"/>
  <c r="AE148" i="7"/>
  <c r="AD148" i="7"/>
  <c r="AC148" i="7"/>
  <c r="AB148" i="7"/>
  <c r="AA148" i="7"/>
  <c r="P148" i="7"/>
  <c r="J148" i="7"/>
  <c r="AK136" i="7"/>
  <c r="AL136" i="7" s="1"/>
  <c r="AI136" i="7"/>
  <c r="AG136" i="7"/>
  <c r="AF136" i="7"/>
  <c r="AE136" i="7"/>
  <c r="AD136" i="7"/>
  <c r="AC136" i="7"/>
  <c r="AB136" i="7"/>
  <c r="AA136" i="7"/>
  <c r="P136" i="7"/>
  <c r="J136" i="7"/>
  <c r="AK134" i="7"/>
  <c r="AL134" i="7" s="1"/>
  <c r="AI134" i="7"/>
  <c r="AG134" i="7"/>
  <c r="AF134" i="7"/>
  <c r="AE134" i="7"/>
  <c r="AD134" i="7"/>
  <c r="AC134" i="7"/>
  <c r="AB134" i="7"/>
  <c r="AA134" i="7"/>
  <c r="P134" i="7"/>
  <c r="J134" i="7"/>
  <c r="AK130" i="7"/>
  <c r="AL130" i="7" s="1"/>
  <c r="AI130" i="7"/>
  <c r="AG130" i="7"/>
  <c r="AF130" i="7"/>
  <c r="AE130" i="7"/>
  <c r="AD130" i="7"/>
  <c r="AC130" i="7"/>
  <c r="AB130" i="7"/>
  <c r="AA130" i="7"/>
  <c r="P130" i="7"/>
  <c r="J130" i="7"/>
  <c r="AK128" i="7"/>
  <c r="AL128" i="7" s="1"/>
  <c r="AI128" i="7"/>
  <c r="AG128" i="7"/>
  <c r="AF128" i="7"/>
  <c r="AE128" i="7"/>
  <c r="AD128" i="7"/>
  <c r="AC128" i="7"/>
  <c r="AB128" i="7"/>
  <c r="AA128" i="7"/>
  <c r="P128" i="7"/>
  <c r="J128" i="7"/>
  <c r="AK126" i="7"/>
  <c r="AL126" i="7" s="1"/>
  <c r="AI126" i="7"/>
  <c r="AG126" i="7"/>
  <c r="AF126" i="7"/>
  <c r="AE126" i="7"/>
  <c r="AD126" i="7"/>
  <c r="AC126" i="7"/>
  <c r="AB126" i="7"/>
  <c r="AA126" i="7"/>
  <c r="P126" i="7"/>
  <c r="J126" i="7"/>
  <c r="AK124" i="7"/>
  <c r="AL124" i="7" s="1"/>
  <c r="AI124" i="7"/>
  <c r="AG124" i="7"/>
  <c r="AF124" i="7"/>
  <c r="AE124" i="7"/>
  <c r="AD124" i="7"/>
  <c r="AC124" i="7"/>
  <c r="AB124" i="7"/>
  <c r="AA124" i="7"/>
  <c r="P124" i="7"/>
  <c r="J124" i="7"/>
  <c r="AH148" i="7" l="1"/>
  <c r="V148" i="7"/>
  <c r="Z148" i="7"/>
  <c r="AS148" i="7" s="1"/>
  <c r="AH136" i="7"/>
  <c r="V136" i="7"/>
  <c r="Z136" i="7"/>
  <c r="AS136" i="7" s="1"/>
  <c r="AH134" i="7"/>
  <c r="V134" i="7"/>
  <c r="Z134" i="7"/>
  <c r="AS134" i="7" s="1"/>
  <c r="V130" i="7"/>
  <c r="Z130" i="7"/>
  <c r="AS130" i="7" s="1"/>
  <c r="AH130" i="7"/>
  <c r="AH128" i="7"/>
  <c r="U128" i="7"/>
  <c r="AN128" i="7" s="1"/>
  <c r="W128" i="7"/>
  <c r="AP128" i="7" s="1"/>
  <c r="Y128" i="7"/>
  <c r="AR128" i="7" s="1"/>
  <c r="T128" i="7"/>
  <c r="AM128" i="7" s="1"/>
  <c r="V128" i="7"/>
  <c r="X128" i="7"/>
  <c r="AQ128" i="7" s="1"/>
  <c r="Z128" i="7"/>
  <c r="AS128" i="7" s="1"/>
  <c r="AH126" i="7"/>
  <c r="V126" i="7"/>
  <c r="Z126" i="7"/>
  <c r="AS126" i="7" s="1"/>
  <c r="AH124" i="7"/>
  <c r="V124" i="7"/>
  <c r="Z124" i="7"/>
  <c r="AS124" i="7" s="1"/>
  <c r="AK120" i="7" l="1"/>
  <c r="AL120" i="7" s="1"/>
  <c r="AI120" i="7"/>
  <c r="AG120" i="7"/>
  <c r="AF120" i="7"/>
  <c r="AE120" i="7"/>
  <c r="AD120" i="7"/>
  <c r="AC120" i="7"/>
  <c r="AB120" i="7"/>
  <c r="AA120" i="7"/>
  <c r="BH120" i="7"/>
  <c r="P120" i="7"/>
  <c r="J120" i="7"/>
  <c r="AK118" i="7"/>
  <c r="AL118" i="7" s="1"/>
  <c r="AI118" i="7"/>
  <c r="AG118" i="7"/>
  <c r="AF118" i="7"/>
  <c r="AE118" i="7"/>
  <c r="AD118" i="7"/>
  <c r="AC118" i="7"/>
  <c r="AB118" i="7"/>
  <c r="AA118" i="7"/>
  <c r="P118" i="7"/>
  <c r="J118" i="7"/>
  <c r="AK116" i="7"/>
  <c r="AL116" i="7" s="1"/>
  <c r="AI116" i="7"/>
  <c r="AG116" i="7"/>
  <c r="AF116" i="7"/>
  <c r="AE116" i="7"/>
  <c r="AD116" i="7"/>
  <c r="AC116" i="7"/>
  <c r="AB116" i="7"/>
  <c r="AA116" i="7"/>
  <c r="P116" i="7"/>
  <c r="J116" i="7"/>
  <c r="AK104" i="7"/>
  <c r="AL104" i="7" s="1"/>
  <c r="AI104" i="7"/>
  <c r="AG104" i="7"/>
  <c r="AF104" i="7"/>
  <c r="AE104" i="7"/>
  <c r="AD104" i="7"/>
  <c r="AC104" i="7"/>
  <c r="AB104" i="7"/>
  <c r="AA104" i="7"/>
  <c r="P104" i="7"/>
  <c r="J104" i="7"/>
  <c r="AK42" i="7"/>
  <c r="AL42" i="7" s="1"/>
  <c r="AI42" i="7"/>
  <c r="AG42" i="7"/>
  <c r="AF42" i="7"/>
  <c r="AE42" i="7"/>
  <c r="AD42" i="7"/>
  <c r="AC42" i="7"/>
  <c r="AB42" i="7"/>
  <c r="AA42" i="7"/>
  <c r="P42" i="7"/>
  <c r="J42" i="7"/>
  <c r="AK40" i="7"/>
  <c r="AL40" i="7" s="1"/>
  <c r="AI40" i="7"/>
  <c r="AG40" i="7"/>
  <c r="AF40" i="7"/>
  <c r="AE40" i="7"/>
  <c r="AD40" i="7"/>
  <c r="AC40" i="7"/>
  <c r="AB40" i="7"/>
  <c r="AA40" i="7"/>
  <c r="P40" i="7"/>
  <c r="J40" i="7"/>
  <c r="AK36" i="7"/>
  <c r="AL36" i="7" s="1"/>
  <c r="AI36" i="7"/>
  <c r="AG36" i="7"/>
  <c r="AF36" i="7"/>
  <c r="AE36" i="7"/>
  <c r="AD36" i="7"/>
  <c r="AC36" i="7"/>
  <c r="AB36" i="7"/>
  <c r="AA36" i="7"/>
  <c r="P36" i="7"/>
  <c r="J36" i="7"/>
  <c r="AK34" i="7"/>
  <c r="AL34" i="7" s="1"/>
  <c r="AI34" i="7"/>
  <c r="AG34" i="7"/>
  <c r="AF34" i="7"/>
  <c r="AE34" i="7"/>
  <c r="AD34" i="7"/>
  <c r="AC34" i="7"/>
  <c r="AB34" i="7"/>
  <c r="AA34" i="7"/>
  <c r="P34" i="7"/>
  <c r="J34" i="7"/>
  <c r="AK32" i="7"/>
  <c r="AL32" i="7" s="1"/>
  <c r="AI32" i="7"/>
  <c r="AG32" i="7"/>
  <c r="AF32" i="7"/>
  <c r="AE32" i="7"/>
  <c r="AD32" i="7"/>
  <c r="AC32" i="7"/>
  <c r="AB32" i="7"/>
  <c r="AA32" i="7"/>
  <c r="BH32" i="7"/>
  <c r="P32" i="7"/>
  <c r="J32" i="7"/>
  <c r="AK30" i="7"/>
  <c r="AL30" i="7" s="1"/>
  <c r="AI30" i="7"/>
  <c r="AG30" i="7"/>
  <c r="AF30" i="7"/>
  <c r="AE30" i="7"/>
  <c r="AD30" i="7"/>
  <c r="AC30" i="7"/>
  <c r="AB30" i="7"/>
  <c r="AA30" i="7"/>
  <c r="P30" i="7"/>
  <c r="J30" i="7"/>
  <c r="AK28" i="7"/>
  <c r="AL28" i="7" s="1"/>
  <c r="AI28" i="7"/>
  <c r="AG28" i="7"/>
  <c r="AF28" i="7"/>
  <c r="AE28" i="7"/>
  <c r="AD28" i="7"/>
  <c r="AC28" i="7"/>
  <c r="AB28" i="7"/>
  <c r="AA28" i="7"/>
  <c r="P28" i="7"/>
  <c r="J28" i="7"/>
  <c r="AK24" i="7"/>
  <c r="AL24" i="7" s="1"/>
  <c r="AI24" i="7"/>
  <c r="AG24" i="7"/>
  <c r="AF24" i="7"/>
  <c r="AE24" i="7"/>
  <c r="AD24" i="7"/>
  <c r="AC24" i="7"/>
  <c r="AB24" i="7"/>
  <c r="AA24" i="7"/>
  <c r="BH24" i="7"/>
  <c r="P24" i="7"/>
  <c r="J24" i="7"/>
  <c r="AK22" i="7"/>
  <c r="AL22" i="7" s="1"/>
  <c r="AI22" i="7"/>
  <c r="AG22" i="7"/>
  <c r="AF22" i="7"/>
  <c r="AE22" i="7"/>
  <c r="AD22" i="7"/>
  <c r="AC22" i="7"/>
  <c r="AB22" i="7"/>
  <c r="AA22" i="7"/>
  <c r="P22" i="7"/>
  <c r="J22" i="7"/>
  <c r="AK18" i="7"/>
  <c r="AL18" i="7" s="1"/>
  <c r="AI18" i="7"/>
  <c r="AG18" i="7"/>
  <c r="AF18" i="7"/>
  <c r="AE18" i="7"/>
  <c r="AD18" i="7"/>
  <c r="AC18" i="7"/>
  <c r="AB18" i="7"/>
  <c r="AA18" i="7"/>
  <c r="Y18" i="7"/>
  <c r="AR18" i="7" s="1"/>
  <c r="P18" i="7"/>
  <c r="J18" i="7"/>
  <c r="AK14" i="7"/>
  <c r="AL14" i="7" s="1"/>
  <c r="AJ14" i="7"/>
  <c r="AI14" i="7"/>
  <c r="AG14" i="7"/>
  <c r="AF14" i="7"/>
  <c r="AE14" i="7"/>
  <c r="AD14" i="7"/>
  <c r="AC14" i="7"/>
  <c r="AB14" i="7"/>
  <c r="AA14" i="7"/>
  <c r="BH14" i="7"/>
  <c r="P14" i="7"/>
  <c r="J14" i="7"/>
  <c r="AK12" i="7"/>
  <c r="AL12" i="7" s="1"/>
  <c r="AI12" i="7"/>
  <c r="AG12" i="7"/>
  <c r="AF12" i="7"/>
  <c r="AE12" i="7"/>
  <c r="AD12" i="7"/>
  <c r="AC12" i="7"/>
  <c r="AB12" i="7"/>
  <c r="AA12" i="7"/>
  <c r="P12" i="7"/>
  <c r="J12" i="7"/>
  <c r="AB11" i="31"/>
  <c r="Y11" i="31"/>
  <c r="U7" i="31"/>
  <c r="Y7" i="31" s="1"/>
  <c r="AC6" i="31"/>
  <c r="U6" i="31"/>
  <c r="X6" i="31" s="1"/>
  <c r="BH6" i="7"/>
  <c r="BF7" i="7"/>
  <c r="BH8" i="7"/>
  <c r="BF9" i="7"/>
  <c r="BH10" i="7"/>
  <c r="BG11" i="7"/>
  <c r="BF13" i="7"/>
  <c r="BF15" i="7"/>
  <c r="BH16" i="7"/>
  <c r="BF17" i="7"/>
  <c r="BF19" i="7"/>
  <c r="BF21" i="7"/>
  <c r="BF23" i="7"/>
  <c r="BF25" i="7"/>
  <c r="BH26" i="7"/>
  <c r="BF27" i="7"/>
  <c r="BG29" i="7"/>
  <c r="BF31" i="7"/>
  <c r="BF33" i="7"/>
  <c r="BF35" i="7"/>
  <c r="BG37" i="7"/>
  <c r="BH39" i="7"/>
  <c r="BF41" i="7"/>
  <c r="BF43" i="7"/>
  <c r="BF45" i="7"/>
  <c r="BH46" i="7"/>
  <c r="BG47" i="7"/>
  <c r="BF49" i="7"/>
  <c r="BG50" i="7"/>
  <c r="BF51" i="7"/>
  <c r="BH52" i="7"/>
  <c r="BF53" i="7"/>
  <c r="BF55" i="7"/>
  <c r="BG57" i="7"/>
  <c r="BF59" i="7"/>
  <c r="BF61" i="7"/>
  <c r="BG63" i="7"/>
  <c r="BF65" i="7"/>
  <c r="BF67" i="7"/>
  <c r="BF69" i="7"/>
  <c r="BH70" i="7"/>
  <c r="BF71" i="7"/>
  <c r="BF73" i="7"/>
  <c r="BF75" i="7"/>
  <c r="BH76" i="7"/>
  <c r="BF77" i="7"/>
  <c r="BH78" i="7"/>
  <c r="BF79" i="7"/>
  <c r="BG80" i="7"/>
  <c r="BF81" i="7"/>
  <c r="BG83" i="7"/>
  <c r="BH84" i="7"/>
  <c r="BF85" i="7"/>
  <c r="BH87" i="7"/>
  <c r="BH89" i="7"/>
  <c r="BF91" i="7"/>
  <c r="BF93" i="7"/>
  <c r="BF95" i="7"/>
  <c r="BF97" i="7"/>
  <c r="BF99" i="7"/>
  <c r="BG101" i="7"/>
  <c r="BG103" i="7"/>
  <c r="BF105" i="7"/>
  <c r="BG107" i="7"/>
  <c r="BF109" i="7"/>
  <c r="BH110" i="7"/>
  <c r="BF111" i="7"/>
  <c r="BH112" i="7"/>
  <c r="BG113" i="7"/>
  <c r="BG115" i="7"/>
  <c r="BF117" i="7"/>
  <c r="BF119" i="7"/>
  <c r="BF121" i="7"/>
  <c r="BF123" i="7"/>
  <c r="BF125" i="7"/>
  <c r="BF129" i="7"/>
  <c r="BF131" i="7"/>
  <c r="BH132" i="7"/>
  <c r="BF133" i="7"/>
  <c r="BF135" i="7"/>
  <c r="BF137" i="7"/>
  <c r="BF139" i="7"/>
  <c r="BF141" i="7"/>
  <c r="BG143" i="7"/>
  <c r="BH144" i="7"/>
  <c r="BF145" i="7"/>
  <c r="BG147" i="7"/>
  <c r="BF149" i="7"/>
  <c r="BH150" i="7"/>
  <c r="BF151" i="7"/>
  <c r="BF153" i="7"/>
  <c r="BF155" i="7"/>
  <c r="BF157" i="7"/>
  <c r="BF159" i="7"/>
  <c r="BF161" i="7"/>
  <c r="BF163" i="7"/>
  <c r="BF165" i="7"/>
  <c r="BH166" i="7"/>
  <c r="BF167" i="7"/>
  <c r="BH168" i="7"/>
  <c r="BF169" i="7"/>
  <c r="BF171" i="7"/>
  <c r="BH173" i="7"/>
  <c r="BF175" i="7"/>
  <c r="BF177" i="7"/>
  <c r="BF179" i="7"/>
  <c r="BH180" i="7"/>
  <c r="BF181" i="7"/>
  <c r="BF183" i="7"/>
  <c r="BF185" i="7"/>
  <c r="BF187" i="7"/>
  <c r="BF189" i="7"/>
  <c r="BG191" i="7"/>
  <c r="BF193" i="7"/>
  <c r="BF195" i="7"/>
  <c r="BG197" i="7"/>
  <c r="BG199" i="7"/>
  <c r="BG201" i="7"/>
  <c r="BF203" i="7"/>
  <c r="BI33" i="22"/>
  <c r="BH116" i="7" l="1"/>
  <c r="Y6" i="31"/>
  <c r="W6" i="31"/>
  <c r="AB6" i="31"/>
  <c r="Z6" i="31"/>
  <c r="V120" i="7"/>
  <c r="Z120" i="7"/>
  <c r="AS120" i="7" s="1"/>
  <c r="AH120" i="7"/>
  <c r="AH118" i="7"/>
  <c r="V118" i="7"/>
  <c r="Z118" i="7"/>
  <c r="AS118" i="7" s="1"/>
  <c r="V116" i="7"/>
  <c r="Z116" i="7"/>
  <c r="AS116" i="7" s="1"/>
  <c r="AH116" i="7"/>
  <c r="AH104" i="7"/>
  <c r="V104" i="7"/>
  <c r="Z104" i="7"/>
  <c r="AS104" i="7" s="1"/>
  <c r="AH42" i="7"/>
  <c r="Z42" i="7"/>
  <c r="AS42" i="7" s="1"/>
  <c r="AH40" i="7"/>
  <c r="V40" i="7"/>
  <c r="Z40" i="7"/>
  <c r="AS40" i="7" s="1"/>
  <c r="AH36" i="7"/>
  <c r="V36" i="7"/>
  <c r="Z36" i="7"/>
  <c r="AS36" i="7" s="1"/>
  <c r="AH34" i="7"/>
  <c r="V34" i="7"/>
  <c r="Z34" i="7"/>
  <c r="AS34" i="7" s="1"/>
  <c r="AH32" i="7"/>
  <c r="Z32" i="7"/>
  <c r="AS32" i="7" s="1"/>
  <c r="AH30" i="7"/>
  <c r="V30" i="7"/>
  <c r="Z30" i="7"/>
  <c r="AS30" i="7" s="1"/>
  <c r="V28" i="7"/>
  <c r="AO28" i="7" s="1"/>
  <c r="Z28" i="7"/>
  <c r="AS28" i="7" s="1"/>
  <c r="AH28" i="7"/>
  <c r="V24" i="7"/>
  <c r="AO24" i="7" s="1"/>
  <c r="Z24" i="7"/>
  <c r="AS24" i="7" s="1"/>
  <c r="AH24" i="7"/>
  <c r="AH22" i="7"/>
  <c r="V22" i="7"/>
  <c r="AO22" i="7" s="1"/>
  <c r="Z22" i="7"/>
  <c r="AS22" i="7" s="1"/>
  <c r="V18" i="7"/>
  <c r="AO18" i="7" s="1"/>
  <c r="Z18" i="7"/>
  <c r="AS18" i="7" s="1"/>
  <c r="AH18" i="7"/>
  <c r="T18" i="7"/>
  <c r="X18" i="7"/>
  <c r="U18" i="7"/>
  <c r="AN18" i="7" s="1"/>
  <c r="W18" i="7"/>
  <c r="AP18" i="7" s="1"/>
  <c r="AM18" i="7"/>
  <c r="AQ18" i="7"/>
  <c r="AH14" i="7"/>
  <c r="V14" i="7"/>
  <c r="Z14" i="7"/>
  <c r="AS14" i="7" s="1"/>
  <c r="AH12" i="7"/>
  <c r="V12" i="7"/>
  <c r="Z12" i="7"/>
  <c r="AS12" i="7" s="1"/>
  <c r="H6" i="25" l="1"/>
  <c r="H7" i="25"/>
  <c r="U15" i="31" l="1"/>
  <c r="CE27" i="22"/>
  <c r="CD27" i="22"/>
  <c r="CC27" i="22"/>
  <c r="CB27" i="22"/>
  <c r="CA27" i="22"/>
  <c r="BZ27" i="22"/>
  <c r="BY27" i="22"/>
  <c r="BX27" i="22"/>
  <c r="BV27" i="22"/>
  <c r="BS27" i="22"/>
  <c r="BT27" i="22" s="1"/>
  <c r="BQ27" i="22"/>
  <c r="BR27" i="22" s="1"/>
  <c r="BO27" i="22"/>
  <c r="BP27" i="22" s="1"/>
  <c r="BM27" i="22"/>
  <c r="BN27" i="22" s="1"/>
  <c r="BK27" i="22"/>
  <c r="BL27" i="22" s="1"/>
  <c r="AI27" i="22"/>
  <c r="J27" i="22"/>
  <c r="C27" i="22"/>
  <c r="CE19" i="22"/>
  <c r="CD19" i="22"/>
  <c r="CC19" i="22"/>
  <c r="CB19" i="22"/>
  <c r="CA19" i="22"/>
  <c r="BY19" i="22"/>
  <c r="BX19" i="22"/>
  <c r="BW19" i="22"/>
  <c r="BV19" i="22"/>
  <c r="BS19" i="22"/>
  <c r="BT19" i="22" s="1"/>
  <c r="BQ19" i="22"/>
  <c r="BR19" i="22" s="1"/>
  <c r="BO19" i="22"/>
  <c r="BP19" i="22" s="1"/>
  <c r="BM19" i="22"/>
  <c r="BN19" i="22" s="1"/>
  <c r="BK19" i="22"/>
  <c r="BL19" i="22" s="1"/>
  <c r="AI19" i="22"/>
  <c r="J19" i="22"/>
  <c r="C19" i="22"/>
  <c r="CE26" i="22" l="1"/>
  <c r="CD26" i="22"/>
  <c r="CC26" i="22"/>
  <c r="CB26" i="22"/>
  <c r="CA26" i="22"/>
  <c r="BY26" i="22"/>
  <c r="BX26" i="22"/>
  <c r="BW26" i="22"/>
  <c r="BV26" i="22"/>
  <c r="BS26" i="22"/>
  <c r="BT26" i="22" s="1"/>
  <c r="BQ26" i="22"/>
  <c r="BR26" i="22" s="1"/>
  <c r="BO26" i="22"/>
  <c r="BP26" i="22" s="1"/>
  <c r="BM26" i="22"/>
  <c r="BN26" i="22" s="1"/>
  <c r="BK26" i="22"/>
  <c r="BL26" i="22" s="1"/>
  <c r="AI26" i="22"/>
  <c r="J26" i="22"/>
  <c r="C26" i="22"/>
  <c r="CE23" i="22"/>
  <c r="CD23" i="22"/>
  <c r="CC23" i="22"/>
  <c r="CB23" i="22"/>
  <c r="CA23" i="22"/>
  <c r="BZ23" i="22"/>
  <c r="BY23" i="22"/>
  <c r="BX23" i="22"/>
  <c r="BS23" i="22"/>
  <c r="BT23" i="22" s="1"/>
  <c r="BQ23" i="22"/>
  <c r="BR23" i="22" s="1"/>
  <c r="BO23" i="22"/>
  <c r="BP23" i="22" s="1"/>
  <c r="BM23" i="22"/>
  <c r="BN23" i="22" s="1"/>
  <c r="BK23" i="22"/>
  <c r="BL23" i="22" s="1"/>
  <c r="AI23" i="22"/>
  <c r="J23" i="22"/>
  <c r="C23" i="22"/>
  <c r="BH205" i="7" l="1"/>
  <c r="AC13" i="31"/>
  <c r="AC14" i="31"/>
  <c r="AC15" i="31"/>
  <c r="AC19" i="31"/>
  <c r="AB13" i="31"/>
  <c r="AB14" i="31"/>
  <c r="AB19" i="31"/>
  <c r="AA19" i="31"/>
  <c r="Z13" i="31"/>
  <c r="Z14" i="31"/>
  <c r="Z19" i="31"/>
  <c r="Y13" i="31"/>
  <c r="Y14" i="31"/>
  <c r="Y19" i="31"/>
  <c r="X13" i="31"/>
  <c r="X14" i="31"/>
  <c r="X19" i="31"/>
  <c r="W13" i="31"/>
  <c r="W14" i="31"/>
  <c r="W19" i="31"/>
  <c r="BZ7" i="22" l="1"/>
  <c r="BZ8" i="22"/>
  <c r="BZ10" i="22"/>
  <c r="BZ13" i="22"/>
  <c r="BZ16" i="22"/>
  <c r="BK41" i="22"/>
  <c r="U21" i="31" l="1"/>
  <c r="M21" i="31"/>
  <c r="C21" i="31"/>
  <c r="U20" i="31"/>
  <c r="M20" i="31"/>
  <c r="C20" i="31"/>
  <c r="U19" i="31"/>
  <c r="M19" i="31"/>
  <c r="C19" i="31"/>
  <c r="U18" i="31"/>
  <c r="M18" i="31"/>
  <c r="C18" i="31"/>
  <c r="U17" i="31"/>
  <c r="M17" i="31"/>
  <c r="C17" i="31"/>
  <c r="U16" i="31"/>
  <c r="M16" i="31"/>
  <c r="C16" i="31"/>
  <c r="M15" i="31"/>
  <c r="C15" i="31"/>
  <c r="U14" i="31"/>
  <c r="M14" i="31"/>
  <c r="C14" i="31"/>
  <c r="U13" i="31"/>
  <c r="M13" i="31"/>
  <c r="C13" i="31"/>
  <c r="U12" i="31"/>
  <c r="M12" i="31"/>
  <c r="C12" i="31"/>
  <c r="U11" i="31"/>
  <c r="M11" i="31"/>
  <c r="C11" i="31"/>
  <c r="U22" i="31"/>
  <c r="M22" i="31"/>
  <c r="C22" i="31"/>
  <c r="U10" i="31"/>
  <c r="M10" i="31"/>
  <c r="C10" i="31"/>
  <c r="AC10" i="31" l="1"/>
  <c r="Z10" i="31"/>
  <c r="AC22" i="31"/>
  <c r="Y22" i="31"/>
  <c r="AC11" i="31"/>
  <c r="AC12" i="31"/>
  <c r="Z12" i="31"/>
  <c r="AC16" i="31"/>
  <c r="Z16" i="31"/>
  <c r="AC17" i="31"/>
  <c r="AC18" i="31"/>
  <c r="Y18" i="31"/>
  <c r="AC21" i="31"/>
  <c r="Z21" i="31"/>
  <c r="AC20" i="31"/>
  <c r="Z20" i="31"/>
  <c r="C7" i="31"/>
  <c r="C6" i="31"/>
  <c r="U5" i="31"/>
  <c r="C5" i="31"/>
  <c r="AA5" i="31" l="1"/>
  <c r="AC5" i="31"/>
  <c r="AC7" i="31"/>
  <c r="AB81" i="31"/>
  <c r="Z81" i="31"/>
  <c r="Y81" i="31"/>
  <c r="X81" i="31"/>
  <c r="AB79" i="31"/>
  <c r="Z79" i="31"/>
  <c r="X79" i="31"/>
  <c r="Z7" i="31" s="1"/>
  <c r="AC78" i="31"/>
  <c r="AB78" i="31"/>
  <c r="AA78" i="31"/>
  <c r="Y78" i="31"/>
  <c r="Y5" i="31" s="1"/>
  <c r="X78" i="31"/>
  <c r="AB77" i="31"/>
  <c r="Z77" i="31"/>
  <c r="Y77" i="31"/>
  <c r="X77" i="31"/>
  <c r="AB76" i="31"/>
  <c r="Z76" i="31"/>
  <c r="Y76" i="31"/>
  <c r="X76" i="31"/>
  <c r="AM24" i="31"/>
  <c r="AL24" i="31"/>
  <c r="AK24" i="31"/>
  <c r="AJ24" i="31"/>
  <c r="AI24" i="31"/>
  <c r="AH24" i="31"/>
  <c r="AG24" i="31"/>
  <c r="AD4" i="31"/>
  <c r="AE4" i="31" s="1"/>
  <c r="AF4" i="31" s="1"/>
  <c r="AG4" i="31" s="1"/>
  <c r="AH4" i="31" s="1"/>
  <c r="AI4" i="31" s="1"/>
  <c r="AJ4" i="31" s="1"/>
  <c r="AK4" i="31" s="1"/>
  <c r="AL4" i="31" s="1"/>
  <c r="AM4" i="31" s="1"/>
  <c r="AB7" i="31" l="1"/>
  <c r="AC24" i="31"/>
  <c r="I9" i="18" s="1"/>
  <c r="W16" i="31"/>
  <c r="W20" i="31"/>
  <c r="W10" i="31"/>
  <c r="W12" i="31"/>
  <c r="W21" i="31"/>
  <c r="X12" i="31"/>
  <c r="X10" i="31"/>
  <c r="X16" i="31"/>
  <c r="X21" i="31"/>
  <c r="X20" i="31"/>
  <c r="Y10" i="31"/>
  <c r="Y16" i="31"/>
  <c r="Y21" i="31"/>
  <c r="Y20" i="31"/>
  <c r="Y12" i="31"/>
  <c r="AA79" i="31"/>
  <c r="Z22" i="31"/>
  <c r="Z18" i="31"/>
  <c r="AA15" i="31"/>
  <c r="AA17" i="31"/>
  <c r="AA22" i="31"/>
  <c r="AA18" i="31"/>
  <c r="AB15" i="31"/>
  <c r="AB17" i="31"/>
  <c r="AA81" i="31"/>
  <c r="AB22" i="31"/>
  <c r="AB18" i="31"/>
  <c r="X7" i="31"/>
  <c r="W15" i="31"/>
  <c r="W11" i="31"/>
  <c r="W17" i="31"/>
  <c r="AA76" i="31"/>
  <c r="W22" i="31"/>
  <c r="W18" i="31"/>
  <c r="X15" i="31"/>
  <c r="X11" i="31"/>
  <c r="X17" i="31"/>
  <c r="AA77" i="31"/>
  <c r="X22" i="31"/>
  <c r="X18" i="31"/>
  <c r="Y15" i="31"/>
  <c r="Y17" i="31"/>
  <c r="Y24" i="31" s="1"/>
  <c r="E9" i="18" s="1"/>
  <c r="Z15" i="31"/>
  <c r="Z11" i="31"/>
  <c r="Z17" i="31"/>
  <c r="AA16" i="31"/>
  <c r="AA21" i="31"/>
  <c r="AA20" i="31"/>
  <c r="AB12" i="31"/>
  <c r="AB10" i="31"/>
  <c r="AB16" i="31"/>
  <c r="AB21" i="31"/>
  <c r="AB20" i="31"/>
  <c r="W7" i="31"/>
  <c r="X5" i="31"/>
  <c r="Z5" i="31"/>
  <c r="AB5" i="31"/>
  <c r="W5" i="31"/>
  <c r="B11" i="31"/>
  <c r="B17" i="31"/>
  <c r="B5" i="31"/>
  <c r="B10" i="31"/>
  <c r="B15" i="31"/>
  <c r="B12" i="31"/>
  <c r="B21" i="31"/>
  <c r="B19" i="31"/>
  <c r="B18" i="31"/>
  <c r="B22" i="31"/>
  <c r="B13" i="31"/>
  <c r="B6" i="31"/>
  <c r="B20" i="31"/>
  <c r="B14" i="31"/>
  <c r="B16" i="31"/>
  <c r="B7" i="31"/>
  <c r="W24" i="31" l="1"/>
  <c r="C9" i="18" s="1"/>
  <c r="AA24" i="31"/>
  <c r="G9" i="18" s="1"/>
  <c r="AB24" i="31"/>
  <c r="H9" i="18" s="1"/>
  <c r="X24" i="31"/>
  <c r="D9" i="18" s="1"/>
  <c r="CE20" i="22"/>
  <c r="CD20" i="22"/>
  <c r="CC20" i="22"/>
  <c r="CB20" i="22"/>
  <c r="CA20" i="22"/>
  <c r="BY20" i="22"/>
  <c r="BX20" i="22"/>
  <c r="BW20" i="22"/>
  <c r="BS20" i="22"/>
  <c r="BT20" i="22" s="1"/>
  <c r="BQ20" i="22"/>
  <c r="BR20" i="22" s="1"/>
  <c r="BO20" i="22"/>
  <c r="BP20" i="22" s="1"/>
  <c r="BM20" i="22"/>
  <c r="BN20" i="22" s="1"/>
  <c r="BK20" i="22"/>
  <c r="BL20" i="22" s="1"/>
  <c r="AI20" i="22"/>
  <c r="J20" i="22"/>
  <c r="C20" i="22"/>
  <c r="CE18" i="22"/>
  <c r="CD18" i="22"/>
  <c r="CC18" i="22"/>
  <c r="CB18" i="22"/>
  <c r="CA18" i="22"/>
  <c r="BY18" i="22"/>
  <c r="BX18" i="22"/>
  <c r="BW18" i="22"/>
  <c r="BV18" i="22"/>
  <c r="BU18" i="22"/>
  <c r="BS18" i="22"/>
  <c r="BT18" i="22" s="1"/>
  <c r="BQ18" i="22"/>
  <c r="BR18" i="22" s="1"/>
  <c r="BO18" i="22"/>
  <c r="BP18" i="22" s="1"/>
  <c r="BM18" i="22"/>
  <c r="BN18" i="22" s="1"/>
  <c r="BK18" i="22"/>
  <c r="BL18" i="22" s="1"/>
  <c r="AI18" i="22"/>
  <c r="AH18" i="22"/>
  <c r="AA18" i="22"/>
  <c r="J18" i="22"/>
  <c r="C18" i="22"/>
  <c r="CE16" i="22"/>
  <c r="CD16" i="22"/>
  <c r="CC16" i="22"/>
  <c r="CB16" i="22"/>
  <c r="CA16" i="22"/>
  <c r="BY16" i="22"/>
  <c r="BX16" i="22"/>
  <c r="BS16" i="22"/>
  <c r="BT16" i="22" s="1"/>
  <c r="BQ16" i="22"/>
  <c r="BR16" i="22" s="1"/>
  <c r="BO16" i="22"/>
  <c r="BP16" i="22" s="1"/>
  <c r="BM16" i="22"/>
  <c r="BN16" i="22" s="1"/>
  <c r="BK16" i="22"/>
  <c r="BL16" i="22" s="1"/>
  <c r="AI16" i="22"/>
  <c r="BW16" i="22"/>
  <c r="J16" i="22"/>
  <c r="C16" i="22"/>
  <c r="CE14" i="22"/>
  <c r="CD14" i="22"/>
  <c r="CC14" i="22"/>
  <c r="CB14" i="22"/>
  <c r="CA14" i="22"/>
  <c r="BY14" i="22"/>
  <c r="BX14" i="22"/>
  <c r="BW14" i="22"/>
  <c r="BS14" i="22"/>
  <c r="BT14" i="22" s="1"/>
  <c r="BQ14" i="22"/>
  <c r="BR14" i="22" s="1"/>
  <c r="BO14" i="22"/>
  <c r="BP14" i="22" s="1"/>
  <c r="BM14" i="22"/>
  <c r="BN14" i="22" s="1"/>
  <c r="BK14" i="22"/>
  <c r="BL14" i="22" s="1"/>
  <c r="AI14" i="22"/>
  <c r="J14" i="22"/>
  <c r="C14" i="22"/>
  <c r="CE13" i="22"/>
  <c r="CD13" i="22"/>
  <c r="CC13" i="22"/>
  <c r="CB13" i="22"/>
  <c r="CA13" i="22"/>
  <c r="BY13" i="22"/>
  <c r="BX13" i="22"/>
  <c r="BW13" i="22"/>
  <c r="BU13" i="22"/>
  <c r="BS13" i="22"/>
  <c r="BT13" i="22" s="1"/>
  <c r="BQ13" i="22"/>
  <c r="BR13" i="22" s="1"/>
  <c r="BO13" i="22"/>
  <c r="BP13" i="22" s="1"/>
  <c r="BM13" i="22"/>
  <c r="BN13" i="22" s="1"/>
  <c r="BK13" i="22"/>
  <c r="BL13" i="22" s="1"/>
  <c r="AI13" i="22"/>
  <c r="AH13" i="22"/>
  <c r="J13" i="22"/>
  <c r="C13" i="22"/>
  <c r="AA13" i="22" l="1"/>
  <c r="AK164" i="7" l="1"/>
  <c r="AL164" i="7" s="1"/>
  <c r="AI164" i="7"/>
  <c r="AG164" i="7"/>
  <c r="AF164" i="7"/>
  <c r="AE164" i="7"/>
  <c r="AD164" i="7"/>
  <c r="AC164" i="7"/>
  <c r="AB164" i="7"/>
  <c r="AA164" i="7"/>
  <c r="Y164" i="7"/>
  <c r="P164" i="7"/>
  <c r="J164" i="7"/>
  <c r="AK90" i="7"/>
  <c r="AL90" i="7" s="1"/>
  <c r="AI90" i="7"/>
  <c r="AG90" i="7"/>
  <c r="AF90" i="7"/>
  <c r="AE90" i="7"/>
  <c r="AD90" i="7"/>
  <c r="AC90" i="7"/>
  <c r="AB90" i="7"/>
  <c r="AA90" i="7"/>
  <c r="Z90" i="7"/>
  <c r="V90" i="7"/>
  <c r="P90" i="7"/>
  <c r="AH90" i="7" s="1"/>
  <c r="J90" i="7"/>
  <c r="AR164" i="7" l="1"/>
  <c r="V164" i="7"/>
  <c r="Z164" i="7"/>
  <c r="AS164" i="7" s="1"/>
  <c r="AH164" i="7"/>
  <c r="T164" i="7"/>
  <c r="AM164" i="7" s="1"/>
  <c r="X164" i="7"/>
  <c r="AQ164" i="7" s="1"/>
  <c r="U164" i="7"/>
  <c r="AN164" i="7" s="1"/>
  <c r="W164" i="7"/>
  <c r="AP164" i="7" s="1"/>
  <c r="AS90" i="7"/>
  <c r="AK102" i="7" l="1"/>
  <c r="AL102" i="7" s="1"/>
  <c r="AI102" i="7"/>
  <c r="AG102" i="7"/>
  <c r="AF102" i="7"/>
  <c r="AE102" i="7"/>
  <c r="AD102" i="7"/>
  <c r="AC102" i="7"/>
  <c r="AB102" i="7"/>
  <c r="AA102" i="7"/>
  <c r="P102" i="7"/>
  <c r="J102" i="7"/>
  <c r="AK100" i="7"/>
  <c r="AL100" i="7" s="1"/>
  <c r="AI100" i="7"/>
  <c r="AG100" i="7"/>
  <c r="AF100" i="7"/>
  <c r="AE100" i="7"/>
  <c r="AD100" i="7"/>
  <c r="AC100" i="7"/>
  <c r="AB100" i="7"/>
  <c r="AA100" i="7"/>
  <c r="P100" i="7"/>
  <c r="J100" i="7"/>
  <c r="AK8" i="7"/>
  <c r="AL8" i="7" s="1"/>
  <c r="AJ8" i="7"/>
  <c r="AI8" i="7"/>
  <c r="AG8" i="7"/>
  <c r="AF8" i="7"/>
  <c r="AE8" i="7"/>
  <c r="AD8" i="7"/>
  <c r="AC8" i="7"/>
  <c r="AB8" i="7"/>
  <c r="AA8" i="7"/>
  <c r="P8" i="7"/>
  <c r="J8" i="7"/>
  <c r="V102" i="7" l="1"/>
  <c r="Z102" i="7"/>
  <c r="AS102" i="7" s="1"/>
  <c r="AH102" i="7"/>
  <c r="V100" i="7"/>
  <c r="Z100" i="7"/>
  <c r="AS100" i="7" s="1"/>
  <c r="AH100" i="7"/>
  <c r="AH8" i="7"/>
  <c r="V8" i="7"/>
  <c r="Z8" i="7"/>
  <c r="AS8" i="7" s="1"/>
  <c r="AX6" i="29" l="1"/>
  <c r="CJ14" i="29"/>
  <c r="BM14" i="29"/>
  <c r="BL14" i="29"/>
  <c r="BK14" i="29"/>
  <c r="BJ14" i="29"/>
  <c r="BI14" i="29"/>
  <c r="BH14" i="29"/>
  <c r="BG14" i="29"/>
  <c r="BF14" i="29"/>
  <c r="BB14" i="29"/>
  <c r="BA14" i="29"/>
  <c r="AZ14" i="29"/>
  <c r="AY14" i="29"/>
  <c r="AU14" i="29"/>
  <c r="T14" i="29"/>
  <c r="CH13" i="29"/>
  <c r="CG13" i="29"/>
  <c r="CF13" i="29"/>
  <c r="CE13" i="29"/>
  <c r="CD13" i="29"/>
  <c r="CC13" i="29"/>
  <c r="CB13" i="29"/>
  <c r="CA13" i="29"/>
  <c r="BZ13" i="29"/>
  <c r="BY13" i="29"/>
  <c r="BX13" i="29"/>
  <c r="BW13" i="29"/>
  <c r="BV13" i="29"/>
  <c r="BU13" i="29"/>
  <c r="BT13" i="29"/>
  <c r="BS13" i="29"/>
  <c r="BR13" i="29"/>
  <c r="BQ13" i="29"/>
  <c r="BP13" i="29"/>
  <c r="BO13" i="29"/>
  <c r="BN13" i="29"/>
  <c r="BE13" i="29"/>
  <c r="BB13" i="29"/>
  <c r="BA13" i="29"/>
  <c r="AZ13" i="29"/>
  <c r="AY13" i="29"/>
  <c r="AX13" i="29"/>
  <c r="AW13" i="29"/>
  <c r="AV13" i="29"/>
  <c r="AU13" i="29"/>
  <c r="AT13" i="29"/>
  <c r="AS13" i="29"/>
  <c r="AR13" i="29"/>
  <c r="AQ13" i="29"/>
  <c r="AP13" i="29"/>
  <c r="AO13" i="29"/>
  <c r="AN13" i="29"/>
  <c r="AM13" i="29"/>
  <c r="AE13" i="29"/>
  <c r="AD13" i="29"/>
  <c r="AC13" i="29"/>
  <c r="AB13" i="29"/>
  <c r="AA13" i="29"/>
  <c r="Z13" i="29"/>
  <c r="Y13" i="29"/>
  <c r="X13" i="29"/>
  <c r="W13" i="29"/>
  <c r="V13" i="29"/>
  <c r="U13" i="29"/>
  <c r="L13" i="29"/>
  <c r="K13" i="29"/>
  <c r="J13" i="29"/>
  <c r="I13" i="29"/>
  <c r="H13" i="29"/>
  <c r="G13" i="29"/>
  <c r="CI12" i="29"/>
  <c r="CH12" i="29"/>
  <c r="CG12" i="29"/>
  <c r="CF12" i="29"/>
  <c r="CE12" i="29"/>
  <c r="CD12" i="29"/>
  <c r="CC12" i="29"/>
  <c r="CB12" i="29"/>
  <c r="CA12" i="29"/>
  <c r="BZ12" i="29"/>
  <c r="BY12" i="29"/>
  <c r="BX12" i="29"/>
  <c r="BW12" i="29"/>
  <c r="BV12" i="29"/>
  <c r="BU12" i="29"/>
  <c r="BT12" i="29"/>
  <c r="BS12" i="29"/>
  <c r="BR12" i="29"/>
  <c r="BQ12" i="29"/>
  <c r="BP12" i="29"/>
  <c r="BO12" i="29"/>
  <c r="BN12" i="29"/>
  <c r="S12" i="29"/>
  <c r="C12" i="29"/>
  <c r="CI11" i="29"/>
  <c r="CH11" i="29"/>
  <c r="CG11" i="29"/>
  <c r="CF11" i="29"/>
  <c r="CE11" i="29"/>
  <c r="CD11" i="29"/>
  <c r="CC11" i="29"/>
  <c r="CB11" i="29"/>
  <c r="CA11" i="29"/>
  <c r="BZ11" i="29"/>
  <c r="BY11" i="29"/>
  <c r="BX11" i="29"/>
  <c r="BW11" i="29"/>
  <c r="BV11" i="29"/>
  <c r="BU11" i="29"/>
  <c r="BT11" i="29"/>
  <c r="BS11" i="29"/>
  <c r="BR11" i="29"/>
  <c r="BQ11" i="29"/>
  <c r="BP11" i="29"/>
  <c r="BO11" i="29"/>
  <c r="BN11" i="29"/>
  <c r="S11" i="29"/>
  <c r="C11" i="29"/>
  <c r="CI10" i="29"/>
  <c r="CI14" i="29" s="1"/>
  <c r="CH10" i="29"/>
  <c r="CG10" i="29"/>
  <c r="CG14" i="29" s="1"/>
  <c r="CF10" i="29"/>
  <c r="CE10" i="29"/>
  <c r="CE14" i="29" s="1"/>
  <c r="CD10" i="29"/>
  <c r="CC10" i="29"/>
  <c r="CB10" i="29"/>
  <c r="CA10" i="29"/>
  <c r="BZ10" i="29"/>
  <c r="BY10" i="29"/>
  <c r="BX10" i="29"/>
  <c r="BW10" i="29"/>
  <c r="BW14" i="29" s="1"/>
  <c r="BV10" i="29"/>
  <c r="BU10" i="29"/>
  <c r="BU14" i="29" s="1"/>
  <c r="BT10" i="29"/>
  <c r="BS10" i="29"/>
  <c r="BS14" i="29" s="1"/>
  <c r="BR10" i="29"/>
  <c r="BQ10" i="29"/>
  <c r="BQ14" i="29" s="1"/>
  <c r="BP10" i="29"/>
  <c r="BO10" i="29"/>
  <c r="BO14" i="29" s="1"/>
  <c r="BN10" i="29"/>
  <c r="S10" i="29"/>
  <c r="C10" i="29"/>
  <c r="CI9" i="29"/>
  <c r="CH9" i="29"/>
  <c r="CG9" i="29"/>
  <c r="CF9" i="29"/>
  <c r="CE9" i="29"/>
  <c r="CD9" i="29"/>
  <c r="CC9" i="29"/>
  <c r="CB9" i="29"/>
  <c r="CA9" i="29"/>
  <c r="BZ9" i="29"/>
  <c r="BY9" i="29"/>
  <c r="BX9" i="29"/>
  <c r="BW9" i="29"/>
  <c r="BV9" i="29"/>
  <c r="BU9" i="29"/>
  <c r="BT9" i="29"/>
  <c r="BS9" i="29"/>
  <c r="BR9" i="29"/>
  <c r="BQ9" i="29"/>
  <c r="BP9" i="29"/>
  <c r="BO9" i="29"/>
  <c r="BN9" i="29"/>
  <c r="S9" i="29"/>
  <c r="C9" i="29"/>
  <c r="CI8" i="29"/>
  <c r="CH8" i="29"/>
  <c r="CG8" i="29"/>
  <c r="CF8" i="29"/>
  <c r="CE8" i="29"/>
  <c r="CD8" i="29"/>
  <c r="CC8" i="29"/>
  <c r="CB8" i="29"/>
  <c r="CA8" i="29"/>
  <c r="BZ8" i="29"/>
  <c r="BX8" i="29"/>
  <c r="BW8" i="29"/>
  <c r="BV8" i="29"/>
  <c r="BU8" i="29"/>
  <c r="BT8" i="29"/>
  <c r="BS8" i="29"/>
  <c r="BR8" i="29"/>
  <c r="BQ8" i="29"/>
  <c r="BP8" i="29"/>
  <c r="BO8" i="29"/>
  <c r="BN8" i="29"/>
  <c r="S8" i="29"/>
  <c r="C8" i="29"/>
  <c r="B9" i="29" s="1"/>
  <c r="CI7" i="29"/>
  <c r="CH7" i="29"/>
  <c r="CG7" i="29"/>
  <c r="CF7" i="29"/>
  <c r="CE7" i="29"/>
  <c r="CD7" i="29"/>
  <c r="CC7" i="29"/>
  <c r="CB7" i="29"/>
  <c r="CA7" i="29"/>
  <c r="BZ7" i="29"/>
  <c r="BX7" i="29"/>
  <c r="BW7" i="29"/>
  <c r="BV7" i="29"/>
  <c r="BU7" i="29"/>
  <c r="BT7" i="29"/>
  <c r="BS7" i="29"/>
  <c r="BR7" i="29"/>
  <c r="BQ7" i="29"/>
  <c r="BP7" i="29"/>
  <c r="BO7" i="29"/>
  <c r="BN7" i="29"/>
  <c r="S7" i="29"/>
  <c r="C7" i="29"/>
  <c r="B7" i="29" s="1"/>
  <c r="CI6" i="29"/>
  <c r="CH6" i="29"/>
  <c r="CG6" i="29"/>
  <c r="CF6" i="29"/>
  <c r="CE6" i="29"/>
  <c r="CD6" i="29"/>
  <c r="CC6" i="29"/>
  <c r="CB6" i="29"/>
  <c r="CA6" i="29"/>
  <c r="BZ6" i="29"/>
  <c r="BY6" i="29"/>
  <c r="BW6" i="29"/>
  <c r="BV6" i="29"/>
  <c r="BU6" i="29"/>
  <c r="BT6" i="29"/>
  <c r="BS6" i="29"/>
  <c r="BR6" i="29"/>
  <c r="BQ6" i="29"/>
  <c r="BP6" i="29"/>
  <c r="BO6" i="29"/>
  <c r="BN6" i="29"/>
  <c r="AW14" i="29"/>
  <c r="AV14" i="29"/>
  <c r="BX6" i="29"/>
  <c r="C6" i="29"/>
  <c r="CI5" i="29"/>
  <c r="CH5" i="29"/>
  <c r="CG5" i="29"/>
  <c r="CF5" i="29"/>
  <c r="CE5" i="29"/>
  <c r="CD5" i="29"/>
  <c r="CC5" i="29"/>
  <c r="CB5" i="29"/>
  <c r="CA5" i="29"/>
  <c r="BZ5" i="29"/>
  <c r="BX5" i="29"/>
  <c r="BW5" i="29"/>
  <c r="BV5" i="29"/>
  <c r="BU5" i="29"/>
  <c r="BT5" i="29"/>
  <c r="BS5" i="29"/>
  <c r="BR5" i="29"/>
  <c r="BQ5" i="29"/>
  <c r="BP5" i="29"/>
  <c r="BO5" i="29"/>
  <c r="BN5" i="29"/>
  <c r="AX5" i="29"/>
  <c r="W14" i="29"/>
  <c r="C5" i="29"/>
  <c r="AX4" i="29"/>
  <c r="AY4" i="29" s="1"/>
  <c r="AZ4" i="29" s="1"/>
  <c r="BA4" i="29" s="1"/>
  <c r="BB4" i="29" s="1"/>
  <c r="BC4" i="29" s="1"/>
  <c r="BD4" i="29" s="1"/>
  <c r="BE4" i="29" s="1"/>
  <c r="BF4" i="29" s="1"/>
  <c r="BG4" i="29" s="1"/>
  <c r="BH4" i="29" s="1"/>
  <c r="BI4" i="29" s="1"/>
  <c r="BJ4" i="29" s="1"/>
  <c r="BK4" i="29" s="1"/>
  <c r="U11" i="29" l="1"/>
  <c r="AY11" i="29" s="1"/>
  <c r="U12" i="29"/>
  <c r="AT12" i="29" s="1"/>
  <c r="U6" i="29"/>
  <c r="U7" i="29"/>
  <c r="BY7" i="29" s="1"/>
  <c r="B6" i="29"/>
  <c r="U9" i="29"/>
  <c r="AX9" i="29" s="1"/>
  <c r="AV10" i="29"/>
  <c r="AT11" i="29"/>
  <c r="B5" i="29"/>
  <c r="V14" i="29"/>
  <c r="AX14" i="29"/>
  <c r="B11" i="29"/>
  <c r="U8" i="29"/>
  <c r="BY8" i="29" s="1"/>
  <c r="AV9" i="29"/>
  <c r="U10" i="29"/>
  <c r="AT10" i="29" s="1"/>
  <c r="BN14" i="29"/>
  <c r="BP14" i="29"/>
  <c r="BR14" i="29"/>
  <c r="BT14" i="29"/>
  <c r="BV14" i="29"/>
  <c r="BX14" i="29"/>
  <c r="BZ14" i="29"/>
  <c r="CB14" i="29"/>
  <c r="CD14" i="29"/>
  <c r="CK14" i="29" s="1"/>
  <c r="CF14" i="29"/>
  <c r="CH14" i="29"/>
  <c r="X14" i="29"/>
  <c r="AA14" i="29"/>
  <c r="AE14" i="29"/>
  <c r="Y14" i="29"/>
  <c r="AC14" i="29"/>
  <c r="Z14" i="29"/>
  <c r="AB14" i="29"/>
  <c r="AD14" i="29"/>
  <c r="BB9" i="29"/>
  <c r="AY12" i="29"/>
  <c r="BY14" i="29"/>
  <c r="CA14" i="29"/>
  <c r="CC14" i="29"/>
  <c r="AT6" i="29"/>
  <c r="AG14" i="29"/>
  <c r="AK14" i="29"/>
  <c r="BB7" i="29"/>
  <c r="AZ7" i="29"/>
  <c r="AX7" i="29"/>
  <c r="AW7" i="29"/>
  <c r="BA7" i="29"/>
  <c r="BB8" i="29"/>
  <c r="AZ8" i="29"/>
  <c r="AX8" i="29"/>
  <c r="AW8" i="29"/>
  <c r="BA8" i="29"/>
  <c r="BA10" i="29"/>
  <c r="AY10" i="29"/>
  <c r="AW10" i="29"/>
  <c r="AZ10" i="29"/>
  <c r="AV11" i="29"/>
  <c r="AV12" i="29"/>
  <c r="U5" i="29"/>
  <c r="BY5" i="29" s="1"/>
  <c r="AM14" i="29"/>
  <c r="AH14" i="29"/>
  <c r="AL14" i="29"/>
  <c r="AV7" i="29"/>
  <c r="AY7" i="29"/>
  <c r="AT7" i="29"/>
  <c r="AV8" i="29"/>
  <c r="AY8" i="29"/>
  <c r="AT8" i="29"/>
  <c r="BA9" i="29"/>
  <c r="AW9" i="29"/>
  <c r="AX10" i="29"/>
  <c r="BB10" i="29"/>
  <c r="BB11" i="29"/>
  <c r="AZ11" i="29"/>
  <c r="AX11" i="29"/>
  <c r="AW11" i="29"/>
  <c r="BA11" i="29"/>
  <c r="BB12" i="29"/>
  <c r="AZ12" i="29"/>
  <c r="AX12" i="29"/>
  <c r="AW12" i="29"/>
  <c r="BA12" i="29"/>
  <c r="B8" i="29"/>
  <c r="AI14" i="29" l="1"/>
  <c r="AZ9" i="29"/>
  <c r="AY9" i="29"/>
  <c r="AT9" i="29"/>
  <c r="AJ14" i="29"/>
  <c r="AF14" i="29"/>
  <c r="U14" i="29"/>
  <c r="AS14" i="29"/>
  <c r="AQ14" i="29"/>
  <c r="AO14" i="29"/>
  <c r="AT5" i="29"/>
  <c r="AT14" i="29" s="1"/>
  <c r="AR14" i="29"/>
  <c r="AP14" i="29"/>
  <c r="AN14" i="29"/>
  <c r="CE10" i="22" l="1"/>
  <c r="CD10" i="22"/>
  <c r="CC10" i="22"/>
  <c r="CB10" i="22"/>
  <c r="CA10" i="22"/>
  <c r="BY10" i="22"/>
  <c r="BX10" i="22"/>
  <c r="BW10" i="22"/>
  <c r="BS10" i="22"/>
  <c r="BT10" i="22" s="1"/>
  <c r="BQ10" i="22"/>
  <c r="BR10" i="22" s="1"/>
  <c r="BO10" i="22"/>
  <c r="BP10" i="22" s="1"/>
  <c r="BM10" i="22"/>
  <c r="BN10" i="22" s="1"/>
  <c r="BK10" i="22"/>
  <c r="BL10" i="22" s="1"/>
  <c r="AI10" i="22"/>
  <c r="J10" i="22"/>
  <c r="C10" i="22"/>
  <c r="C17" i="20" l="1"/>
  <c r="D17" i="20" s="1"/>
  <c r="C12" i="20"/>
  <c r="E17" i="20"/>
  <c r="K12" i="10" l="1"/>
  <c r="BA5" i="28"/>
  <c r="AH13" i="13" l="1"/>
  <c r="AI13" i="13"/>
  <c r="AK13" i="13"/>
  <c r="AL13" i="13"/>
  <c r="AM13" i="13"/>
  <c r="AN13" i="13"/>
  <c r="K13" i="13"/>
  <c r="K12" i="13"/>
  <c r="AK21" i="7" l="1"/>
  <c r="AL21" i="7" s="1"/>
  <c r="AI21" i="7"/>
  <c r="AG21" i="7"/>
  <c r="AF21" i="7"/>
  <c r="AE21" i="7"/>
  <c r="AD21" i="7"/>
  <c r="AC21" i="7"/>
  <c r="AB21" i="7"/>
  <c r="AA21" i="7"/>
  <c r="J21" i="7"/>
  <c r="AK62" i="7"/>
  <c r="AL62" i="7" s="1"/>
  <c r="AI62" i="7"/>
  <c r="AG62" i="7"/>
  <c r="AF62" i="7"/>
  <c r="AE62" i="7"/>
  <c r="AD62" i="7"/>
  <c r="AC62" i="7"/>
  <c r="AB62" i="7"/>
  <c r="AA62" i="7"/>
  <c r="P62" i="7"/>
  <c r="J62" i="7"/>
  <c r="AK61" i="7"/>
  <c r="AL61" i="7" s="1"/>
  <c r="J61" i="7"/>
  <c r="J63" i="7"/>
  <c r="AA63" i="7"/>
  <c r="AB63" i="7"/>
  <c r="AC63" i="7"/>
  <c r="AD63" i="7"/>
  <c r="AE63" i="7"/>
  <c r="AF63" i="7"/>
  <c r="AG63" i="7"/>
  <c r="AI63" i="7"/>
  <c r="AK63" i="7"/>
  <c r="AL63" i="7" s="1"/>
  <c r="Z63" i="7" l="1"/>
  <c r="AS63" i="7" s="1"/>
  <c r="V62" i="7"/>
  <c r="Z62" i="7"/>
  <c r="AS62" i="7" s="1"/>
  <c r="AH62" i="7"/>
  <c r="Z61" i="7"/>
  <c r="Z21" i="7"/>
  <c r="AS21" i="7" s="1"/>
  <c r="AH7" i="22" l="1"/>
  <c r="F46" i="28" l="1"/>
  <c r="E49" i="28"/>
  <c r="AG17" i="22" s="1"/>
  <c r="E48" i="28"/>
  <c r="AF17" i="22" s="1"/>
  <c r="E47" i="28"/>
  <c r="AE17" i="22" s="1"/>
  <c r="E45" i="28"/>
  <c r="AC17" i="22" s="1"/>
  <c r="E44" i="28"/>
  <c r="AB17" i="22" s="1"/>
  <c r="D49" i="28"/>
  <c r="C49" i="28"/>
  <c r="C47" i="28"/>
  <c r="C45" i="28"/>
  <c r="C44" i="28"/>
  <c r="G49" i="28"/>
  <c r="G48" i="28"/>
  <c r="D48" i="28"/>
  <c r="C48" i="28"/>
  <c r="G47" i="28"/>
  <c r="H46" i="28"/>
  <c r="G46" i="28"/>
  <c r="D46" i="28"/>
  <c r="C46" i="28"/>
  <c r="G45" i="28"/>
  <c r="D45" i="28"/>
  <c r="G44" i="28"/>
  <c r="D44" i="28"/>
  <c r="H15" i="28"/>
  <c r="H14" i="28"/>
  <c r="H13" i="28"/>
  <c r="P11" i="28"/>
  <c r="P10" i="28"/>
  <c r="L10" i="28"/>
  <c r="L12" i="28" s="1"/>
  <c r="L13" i="28" s="1"/>
  <c r="L14" i="28" s="1"/>
  <c r="L15" i="28" s="1"/>
  <c r="L16" i="28" s="1"/>
  <c r="P9" i="28"/>
  <c r="B8" i="28"/>
  <c r="U7" i="28"/>
  <c r="S7" i="28"/>
  <c r="Q7" i="28"/>
  <c r="O7" i="28" s="1"/>
  <c r="U6" i="28"/>
  <c r="S6" i="28"/>
  <c r="Q6" i="28"/>
  <c r="O6" i="28" s="1"/>
  <c r="U5" i="28"/>
  <c r="S5" i="28"/>
  <c r="Q5" i="28"/>
  <c r="O5" i="28" s="1"/>
  <c r="U4" i="28"/>
  <c r="S4" i="28"/>
  <c r="Q4" i="28"/>
  <c r="O4" i="28" s="1"/>
  <c r="U3" i="28"/>
  <c r="S3" i="28"/>
  <c r="Q3" i="28"/>
  <c r="O3" i="28" s="1"/>
  <c r="U1" i="28"/>
  <c r="G49" i="8"/>
  <c r="F49" i="8"/>
  <c r="E49" i="8"/>
  <c r="D49" i="8"/>
  <c r="C49" i="8"/>
  <c r="G48" i="8"/>
  <c r="F48" i="8"/>
  <c r="E48" i="8"/>
  <c r="D48" i="8"/>
  <c r="C48" i="8"/>
  <c r="G47" i="8"/>
  <c r="F47" i="8"/>
  <c r="E47" i="8"/>
  <c r="C47" i="8"/>
  <c r="G46" i="8"/>
  <c r="C46" i="8"/>
  <c r="G45" i="8"/>
  <c r="F45" i="8"/>
  <c r="E45" i="8"/>
  <c r="D45" i="8"/>
  <c r="C45" i="8"/>
  <c r="G44" i="8"/>
  <c r="F44" i="8"/>
  <c r="E44" i="8"/>
  <c r="D44" i="8"/>
  <c r="C44" i="8"/>
  <c r="T184" i="7" l="1"/>
  <c r="AM184" i="7" s="1"/>
  <c r="T172" i="7"/>
  <c r="AM172" i="7" s="1"/>
  <c r="T42" i="7"/>
  <c r="AM42" i="7" s="1"/>
  <c r="V17" i="22"/>
  <c r="U38" i="7"/>
  <c r="AN38" i="7" s="1"/>
  <c r="U188" i="7"/>
  <c r="AN188" i="7" s="1"/>
  <c r="U176" i="7"/>
  <c r="AN176" i="7" s="1"/>
  <c r="U174" i="7"/>
  <c r="AN174" i="7" s="1"/>
  <c r="U170" i="7"/>
  <c r="AN170" i="7" s="1"/>
  <c r="U134" i="7"/>
  <c r="AN134" i="7" s="1"/>
  <c r="U130" i="7"/>
  <c r="AN130" i="7" s="1"/>
  <c r="U148" i="7"/>
  <c r="AN148" i="7" s="1"/>
  <c r="U124" i="7"/>
  <c r="AN124" i="7" s="1"/>
  <c r="U104" i="7"/>
  <c r="AN104" i="7" s="1"/>
  <c r="U40" i="7"/>
  <c r="AN40" i="7" s="1"/>
  <c r="U36" i="7"/>
  <c r="AN36" i="7" s="1"/>
  <c r="U34" i="7"/>
  <c r="AN34" i="7" s="1"/>
  <c r="U118" i="7"/>
  <c r="AN118" i="7" s="1"/>
  <c r="U22" i="7"/>
  <c r="AN22" i="7" s="1"/>
  <c r="U30" i="7"/>
  <c r="AN30" i="7" s="1"/>
  <c r="U28" i="7"/>
  <c r="AN28" i="7" s="1"/>
  <c r="U90" i="7"/>
  <c r="AN90" i="7" s="1"/>
  <c r="Z17" i="22"/>
  <c r="Y38" i="7"/>
  <c r="AR38" i="7" s="1"/>
  <c r="Y188" i="7"/>
  <c r="AR188" i="7" s="1"/>
  <c r="Y176" i="7"/>
  <c r="AR176" i="7" s="1"/>
  <c r="Y130" i="7"/>
  <c r="AR130" i="7" s="1"/>
  <c r="Y174" i="7"/>
  <c r="AR174" i="7" s="1"/>
  <c r="Y170" i="7"/>
  <c r="AR170" i="7" s="1"/>
  <c r="Y134" i="7"/>
  <c r="AR134" i="7" s="1"/>
  <c r="Y124" i="7"/>
  <c r="AR124" i="7" s="1"/>
  <c r="Y148" i="7"/>
  <c r="AR148" i="7" s="1"/>
  <c r="Y28" i="7"/>
  <c r="AR28" i="7" s="1"/>
  <c r="Y22" i="7"/>
  <c r="AR22" i="7" s="1"/>
  <c r="Y30" i="7"/>
  <c r="AR30" i="7" s="1"/>
  <c r="Y118" i="7"/>
  <c r="AR118" i="7" s="1"/>
  <c r="Y104" i="7"/>
  <c r="AR104" i="7" s="1"/>
  <c r="Y40" i="7"/>
  <c r="AR40" i="7" s="1"/>
  <c r="Y36" i="7"/>
  <c r="AR36" i="7" s="1"/>
  <c r="Y34" i="7"/>
  <c r="AR34" i="7" s="1"/>
  <c r="Y90" i="7"/>
  <c r="AR90" i="7" s="1"/>
  <c r="X184" i="7"/>
  <c r="AQ184" i="7" s="1"/>
  <c r="X172" i="7"/>
  <c r="AQ172" i="7" s="1"/>
  <c r="X42" i="7"/>
  <c r="AQ42" i="7" s="1"/>
  <c r="U172" i="7"/>
  <c r="AN172" i="7" s="1"/>
  <c r="U184" i="7"/>
  <c r="AN184" i="7" s="1"/>
  <c r="U42" i="7"/>
  <c r="AN42" i="7" s="1"/>
  <c r="X17" i="22"/>
  <c r="W38" i="7"/>
  <c r="AP38" i="7" s="1"/>
  <c r="W188" i="7"/>
  <c r="AP188" i="7" s="1"/>
  <c r="W176" i="7"/>
  <c r="AP176" i="7" s="1"/>
  <c r="W174" i="7"/>
  <c r="AP174" i="7" s="1"/>
  <c r="W170" i="7"/>
  <c r="AP170" i="7" s="1"/>
  <c r="W124" i="7"/>
  <c r="AP124" i="7" s="1"/>
  <c r="W130" i="7"/>
  <c r="AP130" i="7" s="1"/>
  <c r="W148" i="7"/>
  <c r="AP148" i="7" s="1"/>
  <c r="W134" i="7"/>
  <c r="AP134" i="7" s="1"/>
  <c r="W30" i="7"/>
  <c r="AP30" i="7" s="1"/>
  <c r="W28" i="7"/>
  <c r="AP28" i="7" s="1"/>
  <c r="W104" i="7"/>
  <c r="AP104" i="7" s="1"/>
  <c r="W40" i="7"/>
  <c r="AP40" i="7" s="1"/>
  <c r="W36" i="7"/>
  <c r="AP36" i="7" s="1"/>
  <c r="W34" i="7"/>
  <c r="AP34" i="7" s="1"/>
  <c r="W118" i="7"/>
  <c r="AP118" i="7" s="1"/>
  <c r="W22" i="7"/>
  <c r="AP22" i="7" s="1"/>
  <c r="W90" i="7"/>
  <c r="AP90" i="7" s="1"/>
  <c r="Y184" i="7"/>
  <c r="AR184" i="7" s="1"/>
  <c r="Y172" i="7"/>
  <c r="AR172" i="7" s="1"/>
  <c r="Y42" i="7"/>
  <c r="AR42" i="7" s="1"/>
  <c r="F44" i="28"/>
  <c r="W172" i="7"/>
  <c r="AP172" i="7" s="1"/>
  <c r="W184" i="7"/>
  <c r="AP184" i="7" s="1"/>
  <c r="W42" i="7"/>
  <c r="AP42" i="7" s="1"/>
  <c r="U17" i="22"/>
  <c r="AR17" i="22" s="1"/>
  <c r="T38" i="7"/>
  <c r="AM38" i="7" s="1"/>
  <c r="T176" i="7"/>
  <c r="AM176" i="7" s="1"/>
  <c r="T170" i="7"/>
  <c r="AM170" i="7" s="1"/>
  <c r="T174" i="7"/>
  <c r="AM174" i="7" s="1"/>
  <c r="T188" i="7"/>
  <c r="AM188" i="7" s="1"/>
  <c r="T148" i="7"/>
  <c r="AM148" i="7" s="1"/>
  <c r="T130" i="7"/>
  <c r="AM130" i="7" s="1"/>
  <c r="T124" i="7"/>
  <c r="AM124" i="7" s="1"/>
  <c r="T134" i="7"/>
  <c r="AM134" i="7" s="1"/>
  <c r="T118" i="7"/>
  <c r="AM118" i="7" s="1"/>
  <c r="T40" i="7"/>
  <c r="AM40" i="7" s="1"/>
  <c r="T28" i="7"/>
  <c r="AM28" i="7" s="1"/>
  <c r="T22" i="7"/>
  <c r="AM22" i="7" s="1"/>
  <c r="T104" i="7"/>
  <c r="AM104" i="7" s="1"/>
  <c r="T36" i="7"/>
  <c r="AM36" i="7" s="1"/>
  <c r="T30" i="7"/>
  <c r="AM30" i="7" s="1"/>
  <c r="T34" i="7"/>
  <c r="AM34" i="7" s="1"/>
  <c r="T90" i="7"/>
  <c r="AM90" i="7" s="1"/>
  <c r="V184" i="7"/>
  <c r="V172" i="7"/>
  <c r="V42" i="7"/>
  <c r="V32" i="7"/>
  <c r="Y17" i="22"/>
  <c r="X38" i="7"/>
  <c r="AQ38" i="7" s="1"/>
  <c r="X174" i="7"/>
  <c r="AQ174" i="7" s="1"/>
  <c r="X176" i="7"/>
  <c r="AQ176" i="7" s="1"/>
  <c r="X170" i="7"/>
  <c r="AQ170" i="7" s="1"/>
  <c r="X188" i="7"/>
  <c r="AQ188" i="7" s="1"/>
  <c r="X124" i="7"/>
  <c r="AQ124" i="7" s="1"/>
  <c r="X134" i="7"/>
  <c r="AQ134" i="7" s="1"/>
  <c r="X130" i="7"/>
  <c r="AQ130" i="7" s="1"/>
  <c r="X148" i="7"/>
  <c r="AQ148" i="7" s="1"/>
  <c r="X30" i="7"/>
  <c r="AQ30" i="7" s="1"/>
  <c r="X22" i="7"/>
  <c r="AQ22" i="7" s="1"/>
  <c r="X104" i="7"/>
  <c r="AQ104" i="7" s="1"/>
  <c r="X40" i="7"/>
  <c r="AQ40" i="7" s="1"/>
  <c r="X36" i="7"/>
  <c r="AQ36" i="7" s="1"/>
  <c r="X34" i="7"/>
  <c r="AQ34" i="7" s="1"/>
  <c r="X118" i="7"/>
  <c r="AQ118" i="7" s="1"/>
  <c r="X28" i="7"/>
  <c r="AQ28" i="7" s="1"/>
  <c r="X90" i="7"/>
  <c r="AQ90" i="7" s="1"/>
  <c r="V5" i="34"/>
  <c r="U5" i="22"/>
  <c r="V12" i="34"/>
  <c r="V17" i="34"/>
  <c r="V15" i="34"/>
  <c r="V14" i="34"/>
  <c r="V11" i="34"/>
  <c r="V18" i="34"/>
  <c r="V13" i="34"/>
  <c r="V16" i="34"/>
  <c r="T136" i="7"/>
  <c r="AM136" i="7" s="1"/>
  <c r="T126" i="7"/>
  <c r="AM126" i="7" s="1"/>
  <c r="T12" i="7"/>
  <c r="AM12" i="7" s="1"/>
  <c r="T102" i="7"/>
  <c r="AM102" i="7" s="1"/>
  <c r="X12" i="34"/>
  <c r="X15" i="34"/>
  <c r="X14" i="34"/>
  <c r="X17" i="34"/>
  <c r="X16" i="34"/>
  <c r="X13" i="34"/>
  <c r="X11" i="34"/>
  <c r="X18" i="34"/>
  <c r="Y12" i="34"/>
  <c r="X9" i="22"/>
  <c r="Y17" i="34"/>
  <c r="Y9" i="34"/>
  <c r="Y16" i="34"/>
  <c r="Y18" i="34"/>
  <c r="Y11" i="34"/>
  <c r="Y13" i="34"/>
  <c r="Y14" i="34"/>
  <c r="Y15" i="34"/>
  <c r="X11" i="22"/>
  <c r="Z12" i="34"/>
  <c r="Z17" i="34"/>
  <c r="Z15" i="34"/>
  <c r="Z14" i="34"/>
  <c r="Z13" i="34"/>
  <c r="Z11" i="34"/>
  <c r="Z18" i="34"/>
  <c r="Z16" i="34"/>
  <c r="X136" i="7"/>
  <c r="AQ136" i="7" s="1"/>
  <c r="X126" i="7"/>
  <c r="AQ126" i="7" s="1"/>
  <c r="X12" i="7"/>
  <c r="AQ12" i="7" s="1"/>
  <c r="X102" i="7"/>
  <c r="AQ102" i="7" s="1"/>
  <c r="AF5" i="22"/>
  <c r="AG12" i="34"/>
  <c r="AG17" i="34"/>
  <c r="AG16" i="34"/>
  <c r="AG18" i="34"/>
  <c r="AG11" i="34"/>
  <c r="AG13" i="34"/>
  <c r="AG14" i="34"/>
  <c r="AG15" i="34"/>
  <c r="AB5" i="22"/>
  <c r="AC12" i="34"/>
  <c r="AR12" i="34" s="1"/>
  <c r="AC17" i="34"/>
  <c r="AR17" i="34" s="1"/>
  <c r="AC16" i="34"/>
  <c r="AR16" i="34" s="1"/>
  <c r="AC18" i="34"/>
  <c r="AR18" i="34" s="1"/>
  <c r="AC11" i="34"/>
  <c r="AR11" i="34" s="1"/>
  <c r="AC13" i="34"/>
  <c r="AR13" i="34" s="1"/>
  <c r="AC14" i="34"/>
  <c r="AR14" i="34" s="1"/>
  <c r="AC15" i="34"/>
  <c r="AF12" i="34"/>
  <c r="AE9" i="22"/>
  <c r="AF15" i="34"/>
  <c r="AF14" i="34"/>
  <c r="AF17" i="34"/>
  <c r="AF16" i="34"/>
  <c r="AF9" i="34"/>
  <c r="AF13" i="34"/>
  <c r="AF11" i="34"/>
  <c r="AF18" i="34"/>
  <c r="AE11" i="22"/>
  <c r="W12" i="34"/>
  <c r="W17" i="34"/>
  <c r="W18" i="34"/>
  <c r="W11" i="34"/>
  <c r="W13" i="34"/>
  <c r="W14" i="34"/>
  <c r="W15" i="34"/>
  <c r="W16" i="34"/>
  <c r="U136" i="7"/>
  <c r="AN136" i="7" s="1"/>
  <c r="U126" i="7"/>
  <c r="AN126" i="7" s="1"/>
  <c r="U12" i="7"/>
  <c r="AN12" i="7" s="1"/>
  <c r="U102" i="7"/>
  <c r="AN102" i="7" s="1"/>
  <c r="W136" i="7"/>
  <c r="AP136" i="7" s="1"/>
  <c r="W126" i="7"/>
  <c r="AP126" i="7" s="1"/>
  <c r="W12" i="7"/>
  <c r="AP12" i="7" s="1"/>
  <c r="W102" i="7"/>
  <c r="AP102" i="7" s="1"/>
  <c r="AA12" i="34"/>
  <c r="AA18" i="34"/>
  <c r="AA17" i="34"/>
  <c r="AA16" i="34"/>
  <c r="AA11" i="34"/>
  <c r="AA13" i="34"/>
  <c r="AA14" i="34"/>
  <c r="AA15" i="34"/>
  <c r="Y136" i="7"/>
  <c r="AR136" i="7" s="1"/>
  <c r="Y126" i="7"/>
  <c r="AR126" i="7" s="1"/>
  <c r="Y12" i="7"/>
  <c r="AR12" i="7" s="1"/>
  <c r="Y102" i="7"/>
  <c r="AR102" i="7" s="1"/>
  <c r="AE12" i="34"/>
  <c r="AT12" i="34" s="1"/>
  <c r="AE17" i="34"/>
  <c r="AE18" i="34"/>
  <c r="AE11" i="34"/>
  <c r="AT11" i="34" s="1"/>
  <c r="AE13" i="34"/>
  <c r="AT13" i="34" s="1"/>
  <c r="AE14" i="34"/>
  <c r="AE15" i="34"/>
  <c r="AT15" i="34" s="1"/>
  <c r="AE16" i="34"/>
  <c r="AD12" i="34"/>
  <c r="AD11" i="34"/>
  <c r="AD17" i="34"/>
  <c r="AD15" i="34"/>
  <c r="AD14" i="34"/>
  <c r="AD18" i="34"/>
  <c r="AD13" i="34"/>
  <c r="AD16" i="34"/>
  <c r="AH12" i="34"/>
  <c r="AH17" i="34"/>
  <c r="AH15" i="34"/>
  <c r="AH14" i="34"/>
  <c r="AH18" i="34"/>
  <c r="AH11" i="34"/>
  <c r="AH16" i="34"/>
  <c r="U30" i="22"/>
  <c r="AR30" i="22" s="1"/>
  <c r="T122" i="7"/>
  <c r="AM122" i="7" s="1"/>
  <c r="T194" i="7"/>
  <c r="AM194" i="7" s="1"/>
  <c r="T178" i="7"/>
  <c r="AM178" i="7" s="1"/>
  <c r="T186" i="7"/>
  <c r="AM186" i="7" s="1"/>
  <c r="T162" i="7"/>
  <c r="AM162" i="7" s="1"/>
  <c r="T120" i="7"/>
  <c r="AM120" i="7" s="1"/>
  <c r="T116" i="7"/>
  <c r="AM116" i="7" s="1"/>
  <c r="T14" i="7"/>
  <c r="AM14" i="7" s="1"/>
  <c r="T32" i="7"/>
  <c r="AM32" i="7" s="1"/>
  <c r="T24" i="7"/>
  <c r="AM24" i="7" s="1"/>
  <c r="V9" i="22"/>
  <c r="W9" i="34"/>
  <c r="V11" i="22"/>
  <c r="W5" i="22"/>
  <c r="W30" i="22"/>
  <c r="AT30" i="22" s="1"/>
  <c r="W122" i="7"/>
  <c r="AP122" i="7" s="1"/>
  <c r="W186" i="7"/>
  <c r="AP186" i="7" s="1"/>
  <c r="W178" i="7"/>
  <c r="AP178" i="7" s="1"/>
  <c r="W194" i="7"/>
  <c r="AP194" i="7" s="1"/>
  <c r="W162" i="7"/>
  <c r="AP162" i="7" s="1"/>
  <c r="W32" i="7"/>
  <c r="AP32" i="7" s="1"/>
  <c r="W24" i="7"/>
  <c r="AP24" i="7" s="1"/>
  <c r="W120" i="7"/>
  <c r="AP120" i="7" s="1"/>
  <c r="W116" i="7"/>
  <c r="AP116" i="7" s="1"/>
  <c r="W14" i="7"/>
  <c r="AP14" i="7" s="1"/>
  <c r="Y9" i="22"/>
  <c r="Z9" i="34"/>
  <c r="Y11" i="22"/>
  <c r="Z5" i="22"/>
  <c r="Z30" i="22"/>
  <c r="Y122" i="7"/>
  <c r="AR122" i="7" s="1"/>
  <c r="Y194" i="7"/>
  <c r="AR194" i="7" s="1"/>
  <c r="Y162" i="7"/>
  <c r="AR162" i="7" s="1"/>
  <c r="Y186" i="7"/>
  <c r="AR186" i="7" s="1"/>
  <c r="Y178" i="7"/>
  <c r="AR178" i="7" s="1"/>
  <c r="Y116" i="7"/>
  <c r="AR116" i="7" s="1"/>
  <c r="Y120" i="7"/>
  <c r="AR120" i="7" s="1"/>
  <c r="Y14" i="7"/>
  <c r="AR14" i="7" s="1"/>
  <c r="Y24" i="7"/>
  <c r="AR24" i="7" s="1"/>
  <c r="Y32" i="7"/>
  <c r="AR32" i="7" s="1"/>
  <c r="AB9" i="22"/>
  <c r="AC9" i="34"/>
  <c r="AB11" i="22"/>
  <c r="AC9" i="22"/>
  <c r="AD9" i="34"/>
  <c r="AC11" i="22"/>
  <c r="AD5" i="22"/>
  <c r="AD30" i="22"/>
  <c r="AT14" i="34"/>
  <c r="AT18" i="34"/>
  <c r="AT16" i="34"/>
  <c r="AF30" i="22"/>
  <c r="AB30" i="22"/>
  <c r="AE5" i="22"/>
  <c r="AE30" i="22"/>
  <c r="AG9" i="22"/>
  <c r="AH9" i="34"/>
  <c r="AG11" i="22"/>
  <c r="U9" i="22"/>
  <c r="V9" i="34"/>
  <c r="U11" i="22"/>
  <c r="V5" i="22"/>
  <c r="V30" i="22"/>
  <c r="U122" i="7"/>
  <c r="AN122" i="7" s="1"/>
  <c r="U194" i="7"/>
  <c r="AN194" i="7" s="1"/>
  <c r="U162" i="7"/>
  <c r="AN162" i="7" s="1"/>
  <c r="U186" i="7"/>
  <c r="AN186" i="7" s="1"/>
  <c r="U178" i="7"/>
  <c r="AN178" i="7" s="1"/>
  <c r="U120" i="7"/>
  <c r="AN120" i="7" s="1"/>
  <c r="U116" i="7"/>
  <c r="AN116" i="7" s="1"/>
  <c r="U14" i="7"/>
  <c r="AN14" i="7" s="1"/>
  <c r="U24" i="7"/>
  <c r="AN24" i="7" s="1"/>
  <c r="U32" i="7"/>
  <c r="AN32" i="7" s="1"/>
  <c r="W9" i="22"/>
  <c r="X9" i="34"/>
  <c r="W11" i="22"/>
  <c r="V63" i="7"/>
  <c r="X5" i="22"/>
  <c r="X30" i="22"/>
  <c r="Y5" i="22"/>
  <c r="Y30" i="22"/>
  <c r="X122" i="7"/>
  <c r="AQ122" i="7" s="1"/>
  <c r="X194" i="7"/>
  <c r="AQ194" i="7" s="1"/>
  <c r="X186" i="7"/>
  <c r="AQ186" i="7" s="1"/>
  <c r="X162" i="7"/>
  <c r="AQ162" i="7" s="1"/>
  <c r="X178" i="7"/>
  <c r="AQ178" i="7" s="1"/>
  <c r="X24" i="7"/>
  <c r="AQ24" i="7" s="1"/>
  <c r="X14" i="7"/>
  <c r="AQ14" i="7" s="1"/>
  <c r="X120" i="7"/>
  <c r="AQ120" i="7" s="1"/>
  <c r="X116" i="7"/>
  <c r="AQ116" i="7" s="1"/>
  <c r="X32" i="7"/>
  <c r="AQ32" i="7" s="1"/>
  <c r="Z9" i="22"/>
  <c r="AA9" i="34"/>
  <c r="Z11" i="22"/>
  <c r="AD9" i="22"/>
  <c r="AE9" i="34"/>
  <c r="AD11" i="22"/>
  <c r="AF9" i="22"/>
  <c r="AG9" i="34"/>
  <c r="AF11" i="22"/>
  <c r="AC5" i="22"/>
  <c r="AC30" i="22"/>
  <c r="AG5" i="22"/>
  <c r="AG30" i="22"/>
  <c r="U18" i="22"/>
  <c r="AR18" i="22" s="1"/>
  <c r="U13" i="22"/>
  <c r="T100" i="7"/>
  <c r="AM100" i="7" s="1"/>
  <c r="T8" i="7"/>
  <c r="AM8" i="7" s="1"/>
  <c r="T63" i="7"/>
  <c r="AM63" i="7" s="1"/>
  <c r="W18" i="22"/>
  <c r="AT18" i="22" s="1"/>
  <c r="W13" i="22"/>
  <c r="W100" i="7"/>
  <c r="AP100" i="7" s="1"/>
  <c r="W8" i="7"/>
  <c r="AP8" i="7" s="1"/>
  <c r="W63" i="7"/>
  <c r="AP63" i="7" s="1"/>
  <c r="Z18" i="22"/>
  <c r="Z13" i="22"/>
  <c r="Y100" i="7"/>
  <c r="AR100" i="7" s="1"/>
  <c r="Y8" i="7"/>
  <c r="AR8" i="7" s="1"/>
  <c r="Y63" i="7"/>
  <c r="AR63" i="7" s="1"/>
  <c r="AD18" i="22"/>
  <c r="AD13" i="22"/>
  <c r="AD7" i="22"/>
  <c r="AF18" i="22"/>
  <c r="AF13" i="22"/>
  <c r="AF7" i="22"/>
  <c r="AB18" i="22"/>
  <c r="AB13" i="22"/>
  <c r="AB7" i="22"/>
  <c r="AE18" i="22"/>
  <c r="AE13" i="22"/>
  <c r="AE7" i="22"/>
  <c r="F45" i="28"/>
  <c r="F48" i="28"/>
  <c r="V18" i="22"/>
  <c r="V13" i="22"/>
  <c r="U8" i="7"/>
  <c r="AN8" i="7" s="1"/>
  <c r="U100" i="7"/>
  <c r="AN100" i="7" s="1"/>
  <c r="U63" i="7"/>
  <c r="AN63" i="7" s="1"/>
  <c r="X18" i="22"/>
  <c r="X13" i="22"/>
  <c r="Y18" i="22"/>
  <c r="Y13" i="22"/>
  <c r="X100" i="7"/>
  <c r="AQ100" i="7" s="1"/>
  <c r="X8" i="7"/>
  <c r="AQ8" i="7" s="1"/>
  <c r="X63" i="7"/>
  <c r="AQ63" i="7" s="1"/>
  <c r="AC18" i="22"/>
  <c r="AC13" i="22"/>
  <c r="AC7" i="22"/>
  <c r="AG18" i="22"/>
  <c r="AG13" i="22"/>
  <c r="AG7" i="22"/>
  <c r="F47" i="28"/>
  <c r="F49" i="28"/>
  <c r="T21" i="7"/>
  <c r="AM21" i="7" s="1"/>
  <c r="T61" i="7"/>
  <c r="T62" i="7"/>
  <c r="AM62" i="7" s="1"/>
  <c r="V61" i="7"/>
  <c r="V21" i="7"/>
  <c r="AO21" i="7" s="1"/>
  <c r="W62" i="7"/>
  <c r="AP62" i="7" s="1"/>
  <c r="Y61" i="7"/>
  <c r="Y21" i="7"/>
  <c r="AR21" i="7" s="1"/>
  <c r="Y62" i="7"/>
  <c r="AR62" i="7" s="1"/>
  <c r="U61" i="7"/>
  <c r="U21" i="7"/>
  <c r="AN21" i="7" s="1"/>
  <c r="U62" i="7"/>
  <c r="AN62" i="7" s="1"/>
  <c r="W61" i="7"/>
  <c r="W21" i="7"/>
  <c r="AP21" i="7" s="1"/>
  <c r="X21" i="7"/>
  <c r="AQ21" i="7" s="1"/>
  <c r="X61" i="7"/>
  <c r="X62" i="7"/>
  <c r="AQ62" i="7" s="1"/>
  <c r="AT17" i="34" l="1"/>
  <c r="AR15" i="34"/>
  <c r="AT5" i="22"/>
  <c r="AT9" i="22"/>
  <c r="AR13" i="22"/>
  <c r="AR11" i="22"/>
  <c r="AR9" i="22"/>
  <c r="AR5" i="22"/>
  <c r="AR9" i="34"/>
  <c r="AT9" i="34"/>
  <c r="AT11" i="22"/>
  <c r="AT13" i="22"/>
  <c r="AK204" i="7"/>
  <c r="AL204" i="7" s="1"/>
  <c r="AI204" i="7"/>
  <c r="AG204" i="7"/>
  <c r="AF204" i="7"/>
  <c r="AE204" i="7"/>
  <c r="AD204" i="7"/>
  <c r="AC204" i="7"/>
  <c r="AB204" i="7"/>
  <c r="AA204" i="7"/>
  <c r="Z204" i="7"/>
  <c r="Y204" i="7"/>
  <c r="X204" i="7"/>
  <c r="W204" i="7"/>
  <c r="V204" i="7"/>
  <c r="U204" i="7"/>
  <c r="T204" i="7"/>
  <c r="P204" i="7"/>
  <c r="AH204" i="7" s="1"/>
  <c r="J204" i="7"/>
  <c r="AK203" i="7"/>
  <c r="AL203" i="7" s="1"/>
  <c r="J203" i="7"/>
  <c r="U5" i="27"/>
  <c r="T203" i="7" l="1"/>
  <c r="V203" i="7"/>
  <c r="X203" i="7"/>
  <c r="Z203" i="7"/>
  <c r="U203" i="7"/>
  <c r="W203" i="7"/>
  <c r="Y203" i="7"/>
  <c r="AN204" i="7"/>
  <c r="AP204" i="7"/>
  <c r="AR204" i="7"/>
  <c r="AM204" i="7"/>
  <c r="AQ204" i="7"/>
  <c r="AS204" i="7"/>
  <c r="D9" i="20" l="1"/>
  <c r="D14" i="20"/>
  <c r="D15" i="20" s="1"/>
  <c r="V8" i="27" l="1"/>
  <c r="V7" i="27"/>
  <c r="CL7" i="27"/>
  <c r="CK7" i="27"/>
  <c r="CJ7" i="27"/>
  <c r="CI7" i="27"/>
  <c r="CH7" i="27"/>
  <c r="CG7" i="27"/>
  <c r="CE7" i="27"/>
  <c r="CD7" i="27"/>
  <c r="CC7" i="27"/>
  <c r="CB7" i="27"/>
  <c r="CA7" i="27"/>
  <c r="BZ7" i="27"/>
  <c r="BY7" i="27"/>
  <c r="BX7" i="27"/>
  <c r="BW7" i="27"/>
  <c r="BV7" i="27"/>
  <c r="BU7" i="27"/>
  <c r="BT7" i="27"/>
  <c r="BS7" i="27"/>
  <c r="BQ7" i="27"/>
  <c r="BP7" i="27"/>
  <c r="BO7" i="27"/>
  <c r="BN7" i="27"/>
  <c r="BM7" i="27"/>
  <c r="BL7" i="27"/>
  <c r="BK7" i="27"/>
  <c r="BJ7" i="27"/>
  <c r="BI7" i="27"/>
  <c r="BH7" i="27"/>
  <c r="BR7" i="27"/>
  <c r="C7" i="27"/>
  <c r="CE7" i="22"/>
  <c r="CD7" i="22"/>
  <c r="CC7" i="22"/>
  <c r="CB7" i="22"/>
  <c r="CA7" i="22"/>
  <c r="BY7" i="22"/>
  <c r="BX7" i="22"/>
  <c r="BW7" i="22"/>
  <c r="BU7" i="22"/>
  <c r="BS7" i="22"/>
  <c r="BT7" i="22" s="1"/>
  <c r="BQ7" i="22"/>
  <c r="BR7" i="22" s="1"/>
  <c r="BO7" i="22"/>
  <c r="BP7" i="22" s="1"/>
  <c r="BM7" i="22"/>
  <c r="BN7" i="22" s="1"/>
  <c r="BK7" i="22"/>
  <c r="BL7" i="22" s="1"/>
  <c r="AI7" i="22"/>
  <c r="AA7" i="22"/>
  <c r="Z7" i="22"/>
  <c r="Y7" i="22"/>
  <c r="X7" i="22"/>
  <c r="W7" i="22"/>
  <c r="V7" i="22"/>
  <c r="U7" i="22"/>
  <c r="J7" i="22"/>
  <c r="C7" i="22"/>
  <c r="AR7" i="22" l="1"/>
  <c r="AK56" i="7"/>
  <c r="AL56" i="7" s="1"/>
  <c r="AI56" i="7"/>
  <c r="AG56" i="7"/>
  <c r="AF56" i="7"/>
  <c r="AE56" i="7"/>
  <c r="AD56" i="7"/>
  <c r="AC56" i="7"/>
  <c r="AB56" i="7"/>
  <c r="AA56" i="7"/>
  <c r="P56" i="7"/>
  <c r="J56" i="7"/>
  <c r="P6" i="7"/>
  <c r="P10" i="7"/>
  <c r="P16" i="7"/>
  <c r="P20" i="7"/>
  <c r="P26" i="7"/>
  <c r="P44" i="7"/>
  <c r="P46" i="7"/>
  <c r="P48" i="7"/>
  <c r="P50" i="7"/>
  <c r="P52" i="7"/>
  <c r="P54" i="7"/>
  <c r="P58" i="7"/>
  <c r="P60" i="7"/>
  <c r="P66" i="7"/>
  <c r="P68" i="7"/>
  <c r="P70" i="7"/>
  <c r="P72" i="7"/>
  <c r="P74" i="7"/>
  <c r="P76" i="7"/>
  <c r="P78" i="7"/>
  <c r="P80" i="7"/>
  <c r="P82" i="7"/>
  <c r="P84" i="7"/>
  <c r="P86" i="7"/>
  <c r="P88" i="7"/>
  <c r="P92" i="7"/>
  <c r="P94" i="7"/>
  <c r="P96" i="7"/>
  <c r="P98" i="7"/>
  <c r="P106" i="7"/>
  <c r="P108" i="7"/>
  <c r="P110" i="7"/>
  <c r="P112" i="7"/>
  <c r="P114" i="7"/>
  <c r="P132" i="7"/>
  <c r="P138" i="7"/>
  <c r="P140" i="7"/>
  <c r="P142" i="7"/>
  <c r="P144" i="7"/>
  <c r="P146" i="7"/>
  <c r="P150" i="7"/>
  <c r="P152" i="7"/>
  <c r="P154" i="7"/>
  <c r="P156" i="7"/>
  <c r="P158" i="7"/>
  <c r="P166" i="7"/>
  <c r="P168" i="7"/>
  <c r="P180" i="7"/>
  <c r="P182" i="7"/>
  <c r="P190" i="7"/>
  <c r="P192" i="7"/>
  <c r="P196" i="7"/>
  <c r="P198" i="7"/>
  <c r="P200" i="7"/>
  <c r="P202" i="7"/>
  <c r="AH56" i="7" l="1"/>
  <c r="V56" i="7"/>
  <c r="Z56" i="7"/>
  <c r="AS56" i="7" s="1"/>
  <c r="AO9" i="27" l="1"/>
  <c r="CL5" i="27" l="1"/>
  <c r="CK5" i="27"/>
  <c r="CJ5" i="27"/>
  <c r="CG5" i="27"/>
  <c r="CF5" i="27"/>
  <c r="CE5" i="27"/>
  <c r="CD5" i="27"/>
  <c r="CC5" i="27"/>
  <c r="CB5" i="27"/>
  <c r="CA5" i="27"/>
  <c r="BZ5" i="27"/>
  <c r="BY5" i="27"/>
  <c r="BX5" i="27"/>
  <c r="BW5" i="27"/>
  <c r="BV5" i="27"/>
  <c r="BU5" i="27"/>
  <c r="BR5" i="27"/>
  <c r="BQ5" i="27"/>
  <c r="BP5" i="27"/>
  <c r="BO5" i="27"/>
  <c r="BN5" i="27"/>
  <c r="BM5" i="27"/>
  <c r="BL5" i="27"/>
  <c r="BK5" i="27"/>
  <c r="BJ5" i="27"/>
  <c r="BI5" i="27"/>
  <c r="BH5" i="27"/>
  <c r="BT5" i="27"/>
  <c r="C5" i="27"/>
  <c r="CL6" i="27"/>
  <c r="CK6" i="27"/>
  <c r="CJ6" i="27"/>
  <c r="CI6" i="27"/>
  <c r="CH6" i="27"/>
  <c r="CG6" i="27"/>
  <c r="CE6" i="27"/>
  <c r="CD6" i="27"/>
  <c r="CC6" i="27"/>
  <c r="CB6" i="27"/>
  <c r="CA6" i="27"/>
  <c r="BZ6" i="27"/>
  <c r="BY6" i="27"/>
  <c r="BX6" i="27"/>
  <c r="BW6" i="27"/>
  <c r="BV6" i="27"/>
  <c r="BU6" i="27"/>
  <c r="BT6" i="27"/>
  <c r="BS6" i="27"/>
  <c r="BQ6" i="27"/>
  <c r="BP6" i="27"/>
  <c r="BO6" i="27"/>
  <c r="BN6" i="27"/>
  <c r="BM6" i="27"/>
  <c r="BL6" i="27"/>
  <c r="BK6" i="27"/>
  <c r="BJ6" i="27"/>
  <c r="BI6" i="27"/>
  <c r="BH6" i="27"/>
  <c r="BR6" i="27"/>
  <c r="C6" i="27"/>
  <c r="J189" i="7" l="1"/>
  <c r="J190" i="7"/>
  <c r="J192" i="7"/>
  <c r="J195" i="7"/>
  <c r="J196" i="7"/>
  <c r="J197" i="7"/>
  <c r="J198" i="7"/>
  <c r="J199" i="7"/>
  <c r="J200" i="7"/>
  <c r="J201" i="7"/>
  <c r="J202" i="7"/>
  <c r="J177" i="7"/>
  <c r="J179" i="7"/>
  <c r="J180" i="7"/>
  <c r="J181" i="7"/>
  <c r="J182" i="7"/>
  <c r="J183" i="7"/>
  <c r="J185" i="7"/>
  <c r="J187" i="7"/>
  <c r="J44" i="7"/>
  <c r="J45" i="7"/>
  <c r="J46" i="7"/>
  <c r="J47" i="7"/>
  <c r="J48" i="7"/>
  <c r="J49" i="7"/>
  <c r="J50" i="7"/>
  <c r="J51" i="7"/>
  <c r="J52" i="7"/>
  <c r="J53" i="7"/>
  <c r="J54" i="7"/>
  <c r="J55" i="7"/>
  <c r="J57" i="7"/>
  <c r="J58" i="7"/>
  <c r="J59" i="7"/>
  <c r="J60" i="7"/>
  <c r="J64" i="7"/>
  <c r="J65" i="7"/>
  <c r="J66" i="7"/>
  <c r="J67" i="7"/>
  <c r="J68" i="7"/>
  <c r="J69" i="7"/>
  <c r="J70" i="7"/>
  <c r="J73" i="7"/>
  <c r="J74" i="7"/>
  <c r="J75" i="7"/>
  <c r="J76" i="7"/>
  <c r="J79" i="7"/>
  <c r="J80" i="7"/>
  <c r="J81" i="7"/>
  <c r="J82" i="7"/>
  <c r="J83" i="7"/>
  <c r="J84" i="7"/>
  <c r="J85" i="7"/>
  <c r="J86" i="7"/>
  <c r="J87" i="7"/>
  <c r="J88" i="7"/>
  <c r="J89" i="7"/>
  <c r="J91" i="7"/>
  <c r="J92" i="7"/>
  <c r="J93" i="7"/>
  <c r="J94" i="7"/>
  <c r="J95" i="7"/>
  <c r="J96" i="7"/>
  <c r="J97" i="7"/>
  <c r="J98" i="7"/>
  <c r="J99" i="7"/>
  <c r="J101" i="7"/>
  <c r="J103" i="7"/>
  <c r="J105" i="7"/>
  <c r="J106" i="7"/>
  <c r="J107" i="7"/>
  <c r="J108" i="7"/>
  <c r="J109" i="7"/>
  <c r="J110" i="7"/>
  <c r="J113" i="7"/>
  <c r="J114" i="7"/>
  <c r="J115" i="7"/>
  <c r="J117" i="7"/>
  <c r="J119" i="7"/>
  <c r="J121" i="7"/>
  <c r="J123" i="7"/>
  <c r="J125" i="7"/>
  <c r="J127" i="7"/>
  <c r="J129" i="7"/>
  <c r="J131" i="7"/>
  <c r="J132" i="7"/>
  <c r="J133" i="7"/>
  <c r="J135" i="7"/>
  <c r="J137" i="7"/>
  <c r="J138" i="7"/>
  <c r="J139" i="7"/>
  <c r="J140" i="7"/>
  <c r="J141" i="7"/>
  <c r="J142" i="7"/>
  <c r="J143" i="7"/>
  <c r="J144" i="7"/>
  <c r="J145" i="7"/>
  <c r="J146" i="7"/>
  <c r="J147" i="7"/>
  <c r="J149" i="7"/>
  <c r="J150" i="7"/>
  <c r="J151" i="7"/>
  <c r="J152" i="7"/>
  <c r="J153" i="7"/>
  <c r="J154" i="7"/>
  <c r="J155" i="7"/>
  <c r="J156" i="7"/>
  <c r="J157" i="7"/>
  <c r="J158" i="7"/>
  <c r="J159" i="7"/>
  <c r="J161" i="7"/>
  <c r="J163" i="7"/>
  <c r="J165" i="7"/>
  <c r="J166" i="7"/>
  <c r="J167" i="7"/>
  <c r="J168" i="7"/>
  <c r="J169" i="7"/>
  <c r="J171" i="7"/>
  <c r="J173" i="7"/>
  <c r="J175" i="7"/>
  <c r="J43" i="7"/>
  <c r="AE5" i="27" l="1"/>
  <c r="AA5" i="27"/>
  <c r="CI5" i="27"/>
  <c r="AM5" i="27"/>
  <c r="CH5" i="27"/>
  <c r="BS5" i="27"/>
  <c r="AW5" i="27" l="1"/>
  <c r="K11" i="10"/>
  <c r="BI21" i="27" l="1"/>
  <c r="BI20" i="27"/>
  <c r="CL8" i="27"/>
  <c r="CK8" i="27"/>
  <c r="CG8" i="27"/>
  <c r="CE8" i="27"/>
  <c r="CD8" i="27"/>
  <c r="CC8" i="27"/>
  <c r="CC9" i="27" s="1"/>
  <c r="CB8" i="27"/>
  <c r="CA8" i="27"/>
  <c r="CA9" i="27" s="1"/>
  <c r="BZ8" i="27"/>
  <c r="BY8" i="27"/>
  <c r="BY9" i="27" s="1"/>
  <c r="BX8" i="27"/>
  <c r="BW8" i="27"/>
  <c r="BV8" i="27"/>
  <c r="BQ8" i="27"/>
  <c r="BQ9" i="27" s="1"/>
  <c r="BP8" i="27"/>
  <c r="BO8" i="27"/>
  <c r="BO9" i="27" s="1"/>
  <c r="BN8" i="27"/>
  <c r="BM8" i="27"/>
  <c r="BM9" i="27" s="1"/>
  <c r="BL8" i="27"/>
  <c r="BK8" i="27"/>
  <c r="BK9" i="27" s="1"/>
  <c r="BJ8" i="27"/>
  <c r="BI8" i="27"/>
  <c r="BI9" i="27" s="1"/>
  <c r="BH8" i="27"/>
  <c r="AP9" i="27"/>
  <c r="AK9" i="27"/>
  <c r="AJ9" i="27"/>
  <c r="AI9" i="27"/>
  <c r="AG9" i="27"/>
  <c r="AF9" i="27"/>
  <c r="BR8" i="27"/>
  <c r="BR9" i="27" s="1"/>
  <c r="C8" i="27"/>
  <c r="AR4" i="27"/>
  <c r="AS4" i="27" s="1"/>
  <c r="AT4" i="27" s="1"/>
  <c r="AU4" i="27" s="1"/>
  <c r="AV4" i="27" s="1"/>
  <c r="AW4" i="27" s="1"/>
  <c r="AX4" i="27" s="1"/>
  <c r="AY4" i="27" s="1"/>
  <c r="AZ4" i="27" s="1"/>
  <c r="BA4" i="27" s="1"/>
  <c r="BB4" i="27" s="1"/>
  <c r="BC4" i="27" s="1"/>
  <c r="BU8" i="27" l="1"/>
  <c r="BU9" i="27" s="1"/>
  <c r="AH9" i="27"/>
  <c r="AL9" i="27"/>
  <c r="BH9" i="27"/>
  <c r="BO14" i="27" s="1"/>
  <c r="BR14" i="27" s="1"/>
  <c r="BJ9" i="27"/>
  <c r="BO16" i="27" s="1"/>
  <c r="BP16" i="27" s="1"/>
  <c r="BL9" i="27"/>
  <c r="BO17" i="27" s="1"/>
  <c r="BR17" i="27" s="1"/>
  <c r="BN9" i="27"/>
  <c r="BN10" i="27" s="1"/>
  <c r="BP9" i="27"/>
  <c r="BO19" i="27" s="1"/>
  <c r="BR19" i="27" s="1"/>
  <c r="BV9" i="27"/>
  <c r="BX9" i="27"/>
  <c r="BZ9" i="27"/>
  <c r="CB9" i="27"/>
  <c r="CD9" i="27"/>
  <c r="CL9" i="27"/>
  <c r="BT8" i="27"/>
  <c r="BT9" i="27" s="1"/>
  <c r="CI8" i="27"/>
  <c r="CI9" i="27" s="1"/>
  <c r="BI17" i="27" s="1"/>
  <c r="BW9" i="27"/>
  <c r="CE9" i="27"/>
  <c r="CG9" i="27"/>
  <c r="BI15" i="27" s="1"/>
  <c r="CK9" i="27"/>
  <c r="X9" i="27"/>
  <c r="BR16" i="27"/>
  <c r="BK10" i="27"/>
  <c r="BQ16" i="27" s="1"/>
  <c r="BP10" i="27"/>
  <c r="BO18" i="27"/>
  <c r="V9" i="27"/>
  <c r="BJ10" i="27"/>
  <c r="BM10" i="27" l="1"/>
  <c r="BQ17" i="27" s="1"/>
  <c r="BH10" i="27"/>
  <c r="BP17" i="27"/>
  <c r="BP14" i="27"/>
  <c r="BQ10" i="27"/>
  <c r="BQ19" i="27" s="1"/>
  <c r="BI10" i="27"/>
  <c r="BQ14" i="27" s="1"/>
  <c r="BP19" i="27"/>
  <c r="BL10" i="27"/>
  <c r="BO10" i="27"/>
  <c r="BQ18" i="27" s="1"/>
  <c r="CF8" i="27"/>
  <c r="CF9" i="27" s="1"/>
  <c r="CH8" i="27"/>
  <c r="CH9" i="27" s="1"/>
  <c r="BS8" i="27"/>
  <c r="BS9" i="27" s="1"/>
  <c r="BR18" i="27"/>
  <c r="BP18" i="27"/>
  <c r="BO20" i="27"/>
  <c r="BP21" i="27" s="1"/>
  <c r="BI16" i="27" l="1"/>
  <c r="BK16" i="27"/>
  <c r="BI14" i="27"/>
  <c r="BK14" i="27"/>
  <c r="BI22" i="27" l="1"/>
  <c r="BJ14" i="27" s="1"/>
  <c r="BJ21" i="27" l="1"/>
  <c r="BJ19" i="27"/>
  <c r="BJ17" i="27"/>
  <c r="BJ18" i="27"/>
  <c r="BJ20" i="27"/>
  <c r="BJ15" i="27"/>
  <c r="BJ16" i="27"/>
  <c r="BJ22" i="27" l="1"/>
  <c r="J6" i="7" l="1"/>
  <c r="J7" i="7"/>
  <c r="J9" i="7"/>
  <c r="J10" i="7"/>
  <c r="J11" i="7"/>
  <c r="J13" i="7"/>
  <c r="J15" i="7"/>
  <c r="J16" i="7"/>
  <c r="J17" i="7"/>
  <c r="J19" i="7"/>
  <c r="J20" i="7"/>
  <c r="J23" i="7"/>
  <c r="J25" i="7"/>
  <c r="J26" i="7"/>
  <c r="J27" i="7"/>
  <c r="J29" i="7"/>
  <c r="J31" i="7"/>
  <c r="J33" i="7"/>
  <c r="J35" i="7"/>
  <c r="J37" i="7"/>
  <c r="J39" i="7"/>
  <c r="J41" i="7"/>
  <c r="J5" i="7"/>
  <c r="AU4" i="22" l="1"/>
  <c r="AV4" i="22" s="1"/>
  <c r="AW4" i="22" s="1"/>
  <c r="AX4" i="22" s="1"/>
  <c r="AY4" i="22" s="1"/>
  <c r="AZ4" i="22" s="1"/>
  <c r="BA4" i="22" s="1"/>
  <c r="BB4" i="22" s="1"/>
  <c r="BC4" i="22" s="1"/>
  <c r="BD4" i="22" s="1"/>
  <c r="BE4" i="22" s="1"/>
  <c r="BF4" i="22" s="1"/>
  <c r="BG4" i="22" s="1"/>
  <c r="C8" i="22" l="1"/>
  <c r="J8" i="22"/>
  <c r="BK8" i="22"/>
  <c r="BL8" i="22" s="1"/>
  <c r="BM8" i="22"/>
  <c r="BN8" i="22" s="1"/>
  <c r="BO8" i="22"/>
  <c r="BP8" i="22" s="1"/>
  <c r="BQ8" i="22"/>
  <c r="BR8" i="22" s="1"/>
  <c r="BS8" i="22"/>
  <c r="BT8" i="22" s="1"/>
  <c r="BX8" i="22"/>
  <c r="BY8" i="22"/>
  <c r="CA8" i="22"/>
  <c r="CC8" i="22"/>
  <c r="CD8" i="22"/>
  <c r="CE8" i="22"/>
  <c r="B25" i="22" l="1"/>
  <c r="B29" i="22"/>
  <c r="B15" i="22"/>
  <c r="B12" i="22"/>
  <c r="B17" i="22"/>
  <c r="B24" i="22"/>
  <c r="B28" i="22"/>
  <c r="B22" i="22"/>
  <c r="B21" i="22"/>
  <c r="B9" i="22"/>
  <c r="P7" i="24"/>
  <c r="AN6" i="24"/>
  <c r="BL42" i="22" l="1"/>
  <c r="R5" i="7" l="1"/>
  <c r="B224" i="7" s="1"/>
  <c r="B235" i="7" l="1"/>
  <c r="R205" i="7"/>
  <c r="D210" i="7" s="1"/>
  <c r="D211" i="7" s="1"/>
  <c r="BF5" i="7"/>
  <c r="Z24" i="31"/>
  <c r="F9" i="18" s="1"/>
  <c r="B232" i="7" l="1"/>
  <c r="Q22" i="17"/>
  <c r="Q23" i="17"/>
  <c r="Q24" i="17"/>
  <c r="Q25" i="17"/>
  <c r="Q26" i="17"/>
  <c r="Q27" i="17"/>
  <c r="Q28" i="17"/>
  <c r="Q21" i="17"/>
  <c r="C228" i="7" l="1"/>
  <c r="C230" i="7"/>
  <c r="C227" i="7"/>
  <c r="C229" i="7"/>
  <c r="C226" i="7"/>
  <c r="C225" i="7"/>
  <c r="C224" i="7"/>
  <c r="Q6" i="24"/>
  <c r="P6" i="24"/>
  <c r="Z12" i="13" l="1"/>
  <c r="AN12" i="13" s="1"/>
  <c r="Y12" i="13"/>
  <c r="AM12" i="13" s="1"/>
  <c r="X12" i="13"/>
  <c r="AL12" i="13" s="1"/>
  <c r="W12" i="13"/>
  <c r="AK12" i="13" s="1"/>
  <c r="V12" i="13"/>
  <c r="AJ12" i="13" s="1"/>
  <c r="U12" i="13"/>
  <c r="AI12" i="13" s="1"/>
  <c r="T12" i="13"/>
  <c r="AH12" i="13" s="1"/>
  <c r="AJ61" i="7" l="1"/>
  <c r="AJ164" i="7"/>
  <c r="AJ56" i="7"/>
  <c r="AJ63" i="7"/>
  <c r="AJ90" i="7"/>
  <c r="AJ102" i="7"/>
  <c r="AJ204" i="7"/>
  <c r="AJ100" i="7"/>
  <c r="AJ62" i="7"/>
  <c r="AJ203" i="7"/>
  <c r="AJ33" i="7"/>
  <c r="AJ42" i="7" l="1"/>
  <c r="AJ36" i="7"/>
  <c r="AJ172" i="7"/>
  <c r="AJ120" i="7"/>
  <c r="AJ12" i="7"/>
  <c r="AJ128" i="7"/>
  <c r="AJ104" i="7"/>
  <c r="AJ188" i="7"/>
  <c r="AJ176" i="7"/>
  <c r="AJ124" i="7"/>
  <c r="AJ186" i="7"/>
  <c r="AJ174" i="7"/>
  <c r="AJ136" i="7"/>
  <c r="AJ130" i="7"/>
  <c r="AJ34" i="7"/>
  <c r="AJ40" i="7"/>
  <c r="AJ184" i="7"/>
  <c r="AJ162" i="7"/>
  <c r="AJ148" i="7"/>
  <c r="AJ134" i="7"/>
  <c r="AJ116" i="7"/>
  <c r="AJ194" i="7"/>
  <c r="AJ178" i="7"/>
  <c r="AJ170" i="7"/>
  <c r="AJ160" i="7"/>
  <c r="AJ126" i="7"/>
  <c r="AJ118" i="7"/>
  <c r="CF106" i="22" l="1"/>
  <c r="CE106" i="22"/>
  <c r="CD106" i="22"/>
  <c r="CC106" i="22"/>
  <c r="CB106" i="22"/>
  <c r="CA106" i="22"/>
  <c r="BZ106" i="22"/>
  <c r="BY106" i="22"/>
  <c r="BX106" i="22"/>
  <c r="BW106" i="22"/>
  <c r="BV106" i="22"/>
  <c r="BU106" i="22"/>
  <c r="BT106" i="22"/>
  <c r="BS106" i="22"/>
  <c r="BR106" i="22"/>
  <c r="BQ106" i="22"/>
  <c r="BP106" i="22"/>
  <c r="BO106" i="22"/>
  <c r="BN106" i="22"/>
  <c r="BM106" i="22"/>
  <c r="BL106" i="22"/>
  <c r="BK106" i="22"/>
  <c r="CF105" i="22"/>
  <c r="CE105" i="22"/>
  <c r="CD105" i="22"/>
  <c r="CC105" i="22"/>
  <c r="CB105" i="22"/>
  <c r="CA105" i="22"/>
  <c r="BZ105" i="22"/>
  <c r="BY105" i="22"/>
  <c r="BX105" i="22"/>
  <c r="BW105" i="22"/>
  <c r="BV105" i="22"/>
  <c r="BU105" i="22"/>
  <c r="BT105" i="22"/>
  <c r="BS105" i="22"/>
  <c r="BR105" i="22"/>
  <c r="BQ105" i="22"/>
  <c r="BP105" i="22"/>
  <c r="BO105" i="22"/>
  <c r="BN105" i="22"/>
  <c r="BM105" i="22"/>
  <c r="BL105" i="22"/>
  <c r="BK105" i="22"/>
  <c r="CE31" i="22"/>
  <c r="CD31" i="22"/>
  <c r="CC31" i="22"/>
  <c r="CA31" i="22"/>
  <c r="BM31" i="22" l="1"/>
  <c r="BR37" i="22" s="1"/>
  <c r="BN31" i="22"/>
  <c r="BQ31" i="22"/>
  <c r="BR39" i="22" s="1"/>
  <c r="BR31" i="22"/>
  <c r="BK31" i="22"/>
  <c r="BR36" i="22" s="1"/>
  <c r="BL31" i="22"/>
  <c r="BO31" i="22"/>
  <c r="BR38" i="22" s="1"/>
  <c r="BP31" i="22"/>
  <c r="BS31" i="22"/>
  <c r="BR40" i="22" s="1"/>
  <c r="BT31" i="22"/>
  <c r="BK33" i="22" l="1"/>
  <c r="BR41" i="22" l="1"/>
  <c r="X12" i="23"/>
  <c r="AE12" i="23" s="1"/>
  <c r="W12" i="23"/>
  <c r="AD12" i="23" s="1"/>
  <c r="V12" i="23"/>
  <c r="AC12" i="23" s="1"/>
  <c r="U12" i="23"/>
  <c r="AB12" i="23" s="1"/>
  <c r="T12" i="23"/>
  <c r="S12" i="23"/>
  <c r="Z12" i="23" s="1"/>
  <c r="R12" i="23"/>
  <c r="Y12" i="23" s="1"/>
  <c r="X11" i="23"/>
  <c r="AE11" i="23" s="1"/>
  <c r="W11" i="23"/>
  <c r="AD11" i="23" s="1"/>
  <c r="V11" i="23"/>
  <c r="AC11" i="23" s="1"/>
  <c r="U11" i="23"/>
  <c r="AB11" i="23" s="1"/>
  <c r="T11" i="23"/>
  <c r="S11" i="23"/>
  <c r="Z11" i="23" s="1"/>
  <c r="R11" i="23"/>
  <c r="Y11" i="23" s="1"/>
  <c r="U7" i="24"/>
  <c r="AB7" i="24" s="1"/>
  <c r="X7" i="24"/>
  <c r="AE7" i="24" s="1"/>
  <c r="T8" i="24"/>
  <c r="X8" i="24"/>
  <c r="AE8" i="24" s="1"/>
  <c r="T9" i="24"/>
  <c r="X9" i="24"/>
  <c r="AE9" i="24" s="1"/>
  <c r="W10" i="24"/>
  <c r="AD10" i="24" s="1"/>
  <c r="X10" i="24"/>
  <c r="AE10" i="24" s="1"/>
  <c r="R11" i="24"/>
  <c r="Y11" i="24" s="1"/>
  <c r="S11" i="24"/>
  <c r="Z11" i="24" s="1"/>
  <c r="T11" i="24"/>
  <c r="U11" i="24"/>
  <c r="AB11" i="24" s="1"/>
  <c r="V11" i="24"/>
  <c r="AC11" i="24" s="1"/>
  <c r="W11" i="24"/>
  <c r="AD11" i="24" s="1"/>
  <c r="X11" i="24"/>
  <c r="AE11" i="24" s="1"/>
  <c r="R12" i="24"/>
  <c r="Y12" i="24" s="1"/>
  <c r="S12" i="24"/>
  <c r="Z12" i="24" s="1"/>
  <c r="T12" i="24"/>
  <c r="U12" i="24"/>
  <c r="AB12" i="24" s="1"/>
  <c r="V12" i="24"/>
  <c r="AC12" i="24" s="1"/>
  <c r="W12" i="24"/>
  <c r="AD12" i="24" s="1"/>
  <c r="X12" i="24"/>
  <c r="AE12" i="24" s="1"/>
  <c r="T11" i="10"/>
  <c r="T12" i="10"/>
  <c r="AC11" i="7"/>
  <c r="AC13" i="7"/>
  <c r="AC16" i="7"/>
  <c r="AC20" i="7"/>
  <c r="AC26" i="7"/>
  <c r="AC29" i="7"/>
  <c r="AC31" i="7"/>
  <c r="AC39" i="7"/>
  <c r="AC44" i="7"/>
  <c r="AC46" i="7"/>
  <c r="AC47" i="7"/>
  <c r="AC48" i="7"/>
  <c r="AC49" i="7"/>
  <c r="AC51" i="7"/>
  <c r="AC52" i="7"/>
  <c r="AC54" i="7"/>
  <c r="AC58" i="7"/>
  <c r="AC60" i="7"/>
  <c r="AC66" i="7"/>
  <c r="AC68" i="7"/>
  <c r="AC70" i="7"/>
  <c r="AC72" i="7"/>
  <c r="AC74" i="7"/>
  <c r="AC76" i="7"/>
  <c r="AC78" i="7"/>
  <c r="AC79" i="7"/>
  <c r="AC80" i="7"/>
  <c r="AC82" i="7"/>
  <c r="AC84" i="7"/>
  <c r="AC86" i="7"/>
  <c r="AC88" i="7"/>
  <c r="AC92" i="7"/>
  <c r="AC94" i="7"/>
  <c r="AC96" i="7"/>
  <c r="AC98" i="7"/>
  <c r="AC103" i="7"/>
  <c r="AC106" i="7"/>
  <c r="AC108" i="7"/>
  <c r="AC110" i="7"/>
  <c r="AC112" i="7"/>
  <c r="AC114" i="7"/>
  <c r="AC121" i="7"/>
  <c r="AC132" i="7"/>
  <c r="AC138" i="7"/>
  <c r="AC140" i="7"/>
  <c r="AC142" i="7"/>
  <c r="AC144" i="7"/>
  <c r="AC146" i="7"/>
  <c r="AC150" i="7"/>
  <c r="AC152" i="7"/>
  <c r="AC154" i="7"/>
  <c r="AC156" i="7"/>
  <c r="AC158" i="7"/>
  <c r="AC166" i="7"/>
  <c r="AC168" i="7"/>
  <c r="AC177" i="7"/>
  <c r="AC180" i="7"/>
  <c r="AC182" i="7"/>
  <c r="AC189" i="7"/>
  <c r="AC190" i="7"/>
  <c r="AC192" i="7"/>
  <c r="AC196" i="7"/>
  <c r="AC197" i="7"/>
  <c r="AC198" i="7"/>
  <c r="AC200" i="7"/>
  <c r="AC201" i="7"/>
  <c r="AC202" i="7"/>
  <c r="AC205" i="7"/>
  <c r="AC6" i="7"/>
  <c r="AC7" i="7"/>
  <c r="AC9" i="7"/>
  <c r="AC10" i="7"/>
  <c r="R11" i="10"/>
  <c r="Y11" i="10" s="1"/>
  <c r="S11" i="10"/>
  <c r="Z11" i="10" s="1"/>
  <c r="U11" i="10"/>
  <c r="AB11" i="10" s="1"/>
  <c r="V11" i="10"/>
  <c r="AC11" i="10" s="1"/>
  <c r="W11" i="10"/>
  <c r="AD11" i="10" s="1"/>
  <c r="X11" i="10"/>
  <c r="AE11" i="10" s="1"/>
  <c r="R12" i="10"/>
  <c r="Y12" i="10" s="1"/>
  <c r="S12" i="10"/>
  <c r="Z12" i="10" s="1"/>
  <c r="U12" i="10"/>
  <c r="AB12" i="10" s="1"/>
  <c r="V12" i="10"/>
  <c r="AC12" i="10" s="1"/>
  <c r="W12" i="10"/>
  <c r="AD12" i="10" s="1"/>
  <c r="X12" i="10"/>
  <c r="AE12" i="10" s="1"/>
  <c r="AA9" i="7"/>
  <c r="AB9" i="7"/>
  <c r="AD9" i="7"/>
  <c r="AE9" i="7"/>
  <c r="AF9" i="7"/>
  <c r="AG9" i="7"/>
  <c r="V10" i="7"/>
  <c r="Z10" i="7"/>
  <c r="AA10" i="7"/>
  <c r="AB10" i="7"/>
  <c r="AD10" i="7"/>
  <c r="AE10" i="7"/>
  <c r="AF10" i="7"/>
  <c r="AG10" i="7"/>
  <c r="AA11" i="7"/>
  <c r="AB11" i="7"/>
  <c r="AD11" i="7"/>
  <c r="AE11" i="7"/>
  <c r="AF11" i="7"/>
  <c r="AG11" i="7"/>
  <c r="AA13" i="7"/>
  <c r="AB13" i="7"/>
  <c r="AD13" i="7"/>
  <c r="AE13" i="7"/>
  <c r="AF13" i="7"/>
  <c r="AG13" i="7"/>
  <c r="V16" i="7"/>
  <c r="Z16" i="7"/>
  <c r="AA16" i="7"/>
  <c r="AB16" i="7"/>
  <c r="AD16" i="7"/>
  <c r="AE16" i="7"/>
  <c r="AF16" i="7"/>
  <c r="AG16" i="7"/>
  <c r="V20" i="7"/>
  <c r="Z20" i="7"/>
  <c r="AA20" i="7"/>
  <c r="AB20" i="7"/>
  <c r="AD20" i="7"/>
  <c r="AE20" i="7"/>
  <c r="AF20" i="7"/>
  <c r="AG20" i="7"/>
  <c r="AA26" i="7"/>
  <c r="AB26" i="7"/>
  <c r="AD26" i="7"/>
  <c r="AE26" i="7"/>
  <c r="AF26" i="7"/>
  <c r="AG26" i="7"/>
  <c r="AA29" i="7"/>
  <c r="AB29" i="7"/>
  <c r="AD29" i="7"/>
  <c r="AE29" i="7"/>
  <c r="AF29" i="7"/>
  <c r="AG29" i="7"/>
  <c r="AA31" i="7"/>
  <c r="AB31" i="7"/>
  <c r="AD31" i="7"/>
  <c r="AE31" i="7"/>
  <c r="AF31" i="7"/>
  <c r="AG31" i="7"/>
  <c r="AA39" i="7"/>
  <c r="AB39" i="7"/>
  <c r="AD39" i="7"/>
  <c r="AE39" i="7"/>
  <c r="AF39" i="7"/>
  <c r="AG39" i="7"/>
  <c r="V44" i="7"/>
  <c r="Z44" i="7"/>
  <c r="AA44" i="7"/>
  <c r="AB44" i="7"/>
  <c r="AD44" i="7"/>
  <c r="AE44" i="7"/>
  <c r="AF44" i="7"/>
  <c r="AG44" i="7"/>
  <c r="V46" i="7"/>
  <c r="Z46" i="7"/>
  <c r="AA46" i="7"/>
  <c r="AB46" i="7"/>
  <c r="AD46" i="7"/>
  <c r="AE46" i="7"/>
  <c r="AF46" i="7"/>
  <c r="AG46" i="7"/>
  <c r="AA47" i="7"/>
  <c r="AB47" i="7"/>
  <c r="AD47" i="7"/>
  <c r="AE47" i="7"/>
  <c r="AF47" i="7"/>
  <c r="AG47" i="7"/>
  <c r="AA48" i="7"/>
  <c r="AB48" i="7"/>
  <c r="AD48" i="7"/>
  <c r="AE48" i="7"/>
  <c r="AF48" i="7"/>
  <c r="AG48" i="7"/>
  <c r="AA49" i="7"/>
  <c r="AB49" i="7"/>
  <c r="AD49" i="7"/>
  <c r="AE49" i="7"/>
  <c r="AF49" i="7"/>
  <c r="AG49" i="7"/>
  <c r="AA51" i="7"/>
  <c r="AB51" i="7"/>
  <c r="AD51" i="7"/>
  <c r="AE51" i="7"/>
  <c r="AF51" i="7"/>
  <c r="AG51" i="7"/>
  <c r="Z52" i="7"/>
  <c r="AA52" i="7"/>
  <c r="AB52" i="7"/>
  <c r="AD52" i="7"/>
  <c r="AE52" i="7"/>
  <c r="AF52" i="7"/>
  <c r="AG52" i="7"/>
  <c r="AA54" i="7"/>
  <c r="AB54" i="7"/>
  <c r="AD54" i="7"/>
  <c r="AE54" i="7"/>
  <c r="AF54" i="7"/>
  <c r="AG54" i="7"/>
  <c r="V58" i="7"/>
  <c r="Z58" i="7"/>
  <c r="AA58" i="7"/>
  <c r="AB58" i="7"/>
  <c r="AD58" i="7"/>
  <c r="AE58" i="7"/>
  <c r="AF58" i="7"/>
  <c r="AG58" i="7"/>
  <c r="AA60" i="7"/>
  <c r="AB60" i="7"/>
  <c r="AD60" i="7"/>
  <c r="AE60" i="7"/>
  <c r="AF60" i="7"/>
  <c r="AG60" i="7"/>
  <c r="V66" i="7"/>
  <c r="Z66" i="7"/>
  <c r="AA66" i="7"/>
  <c r="AB66" i="7"/>
  <c r="AD66" i="7"/>
  <c r="AE66" i="7"/>
  <c r="AF66" i="7"/>
  <c r="AG66" i="7"/>
  <c r="AA68" i="7"/>
  <c r="AB68" i="7"/>
  <c r="AD68" i="7"/>
  <c r="AE68" i="7"/>
  <c r="AF68" i="7"/>
  <c r="AG68" i="7"/>
  <c r="AA70" i="7"/>
  <c r="AB70" i="7"/>
  <c r="AD70" i="7"/>
  <c r="AE70" i="7"/>
  <c r="AF70" i="7"/>
  <c r="AG70" i="7"/>
  <c r="Z71" i="7"/>
  <c r="V72" i="7"/>
  <c r="Z72" i="7"/>
  <c r="AA72" i="7"/>
  <c r="AB72" i="7"/>
  <c r="AD72" i="7"/>
  <c r="AE72" i="7"/>
  <c r="AF72" i="7"/>
  <c r="AG72" i="7"/>
  <c r="AA74" i="7"/>
  <c r="AB74" i="7"/>
  <c r="AD74" i="7"/>
  <c r="AE74" i="7"/>
  <c r="AF74" i="7"/>
  <c r="AG74" i="7"/>
  <c r="V76" i="7"/>
  <c r="Z76" i="7"/>
  <c r="AA76" i="7"/>
  <c r="AB76" i="7"/>
  <c r="AD76" i="7"/>
  <c r="AE76" i="7"/>
  <c r="AF76" i="7"/>
  <c r="AG76" i="7"/>
  <c r="AA78" i="7"/>
  <c r="AB78" i="7"/>
  <c r="AD78" i="7"/>
  <c r="AE78" i="7"/>
  <c r="AF78" i="7"/>
  <c r="AG78" i="7"/>
  <c r="AA79" i="7"/>
  <c r="AB79" i="7"/>
  <c r="AD79" i="7"/>
  <c r="AE79" i="7"/>
  <c r="AF79" i="7"/>
  <c r="AG79" i="7"/>
  <c r="V80" i="7"/>
  <c r="Z80" i="7"/>
  <c r="AA80" i="7"/>
  <c r="AB80" i="7"/>
  <c r="AD80" i="7"/>
  <c r="AE80" i="7"/>
  <c r="AF80" i="7"/>
  <c r="AG80" i="7"/>
  <c r="AA82" i="7"/>
  <c r="AB82" i="7"/>
  <c r="AD82" i="7"/>
  <c r="AE82" i="7"/>
  <c r="AF82" i="7"/>
  <c r="AG82" i="7"/>
  <c r="AA84" i="7"/>
  <c r="AB84" i="7"/>
  <c r="AD84" i="7"/>
  <c r="AE84" i="7"/>
  <c r="AF84" i="7"/>
  <c r="AG84" i="7"/>
  <c r="V86" i="7"/>
  <c r="Z86" i="7"/>
  <c r="AA86" i="7"/>
  <c r="AB86" i="7"/>
  <c r="AD86" i="7"/>
  <c r="AE86" i="7"/>
  <c r="AF86" i="7"/>
  <c r="AG86" i="7"/>
  <c r="AA88" i="7"/>
  <c r="AB88" i="7"/>
  <c r="AD88" i="7"/>
  <c r="AE88" i="7"/>
  <c r="AF88" i="7"/>
  <c r="AG88" i="7"/>
  <c r="AA92" i="7"/>
  <c r="AB92" i="7"/>
  <c r="AD92" i="7"/>
  <c r="AE92" i="7"/>
  <c r="AF92" i="7"/>
  <c r="AG92" i="7"/>
  <c r="AA94" i="7"/>
  <c r="AB94" i="7"/>
  <c r="AD94" i="7"/>
  <c r="AE94" i="7"/>
  <c r="AF94" i="7"/>
  <c r="AG94" i="7"/>
  <c r="AA96" i="7"/>
  <c r="AB96" i="7"/>
  <c r="AD96" i="7"/>
  <c r="AE96" i="7"/>
  <c r="AF96" i="7"/>
  <c r="AG96" i="7"/>
  <c r="T98" i="7"/>
  <c r="Z98" i="7"/>
  <c r="AA98" i="7"/>
  <c r="AB98" i="7"/>
  <c r="AD98" i="7"/>
  <c r="AE98" i="7"/>
  <c r="AF98" i="7"/>
  <c r="AG98" i="7"/>
  <c r="AA103" i="7"/>
  <c r="AB103" i="7"/>
  <c r="AD103" i="7"/>
  <c r="AE103" i="7"/>
  <c r="AF103" i="7"/>
  <c r="AG103" i="7"/>
  <c r="V106" i="7"/>
  <c r="Z106" i="7"/>
  <c r="AA106" i="7"/>
  <c r="AB106" i="7"/>
  <c r="AD106" i="7"/>
  <c r="AE106" i="7"/>
  <c r="AF106" i="7"/>
  <c r="AG106" i="7"/>
  <c r="V108" i="7"/>
  <c r="Z108" i="7"/>
  <c r="AA108" i="7"/>
  <c r="AB108" i="7"/>
  <c r="AD108" i="7"/>
  <c r="AE108" i="7"/>
  <c r="AF108" i="7"/>
  <c r="AG108" i="7"/>
  <c r="AA110" i="7"/>
  <c r="AB110" i="7"/>
  <c r="AD110" i="7"/>
  <c r="AE110" i="7"/>
  <c r="AF110" i="7"/>
  <c r="AG110" i="7"/>
  <c r="AA112" i="7"/>
  <c r="AB112" i="7"/>
  <c r="AD112" i="7"/>
  <c r="AE112" i="7"/>
  <c r="AF112" i="7"/>
  <c r="AG112" i="7"/>
  <c r="AA114" i="7"/>
  <c r="AB114" i="7"/>
  <c r="AD114" i="7"/>
  <c r="AE114" i="7"/>
  <c r="AF114" i="7"/>
  <c r="AG114" i="7"/>
  <c r="AA121" i="7"/>
  <c r="AB121" i="7"/>
  <c r="AD121" i="7"/>
  <c r="AE121" i="7"/>
  <c r="AF121" i="7"/>
  <c r="AG121" i="7"/>
  <c r="AA132" i="7"/>
  <c r="AB132" i="7"/>
  <c r="AD132" i="7"/>
  <c r="AE132" i="7"/>
  <c r="AF132" i="7"/>
  <c r="AG132" i="7"/>
  <c r="V138" i="7"/>
  <c r="Z138" i="7"/>
  <c r="AA138" i="7"/>
  <c r="AB138" i="7"/>
  <c r="AD138" i="7"/>
  <c r="AE138" i="7"/>
  <c r="AF138" i="7"/>
  <c r="AG138" i="7"/>
  <c r="T140" i="7"/>
  <c r="U140" i="7"/>
  <c r="V140" i="7"/>
  <c r="W140" i="7"/>
  <c r="X140" i="7"/>
  <c r="Y140" i="7"/>
  <c r="Z140" i="7"/>
  <c r="AA140" i="7"/>
  <c r="AB140" i="7"/>
  <c r="AD140" i="7"/>
  <c r="AE140" i="7"/>
  <c r="AF140" i="7"/>
  <c r="AG140" i="7"/>
  <c r="AA142" i="7"/>
  <c r="AB142" i="7"/>
  <c r="AD142" i="7"/>
  <c r="AE142" i="7"/>
  <c r="AF142" i="7"/>
  <c r="AG142" i="7"/>
  <c r="AA144" i="7"/>
  <c r="AB144" i="7"/>
  <c r="AD144" i="7"/>
  <c r="AE144" i="7"/>
  <c r="AF144" i="7"/>
  <c r="AG144" i="7"/>
  <c r="AA146" i="7"/>
  <c r="AB146" i="7"/>
  <c r="AD146" i="7"/>
  <c r="AE146" i="7"/>
  <c r="AF146" i="7"/>
  <c r="AG146" i="7"/>
  <c r="V150" i="7"/>
  <c r="Z150" i="7"/>
  <c r="AA150" i="7"/>
  <c r="AB150" i="7"/>
  <c r="AD150" i="7"/>
  <c r="AE150" i="7"/>
  <c r="AF150" i="7"/>
  <c r="AG150" i="7"/>
  <c r="Z152" i="7"/>
  <c r="AA152" i="7"/>
  <c r="AB152" i="7"/>
  <c r="AD152" i="7"/>
  <c r="AE152" i="7"/>
  <c r="AF152" i="7"/>
  <c r="AG152" i="7"/>
  <c r="V154" i="7"/>
  <c r="Z154" i="7"/>
  <c r="AA154" i="7"/>
  <c r="AB154" i="7"/>
  <c r="AD154" i="7"/>
  <c r="AE154" i="7"/>
  <c r="AF154" i="7"/>
  <c r="AG154" i="7"/>
  <c r="V156" i="7"/>
  <c r="Z156" i="7"/>
  <c r="AA156" i="7"/>
  <c r="AB156" i="7"/>
  <c r="AD156" i="7"/>
  <c r="AE156" i="7"/>
  <c r="AF156" i="7"/>
  <c r="AG156" i="7"/>
  <c r="V158" i="7"/>
  <c r="Z158" i="7"/>
  <c r="AA158" i="7"/>
  <c r="AB158" i="7"/>
  <c r="AD158" i="7"/>
  <c r="AE158" i="7"/>
  <c r="AF158" i="7"/>
  <c r="AG158" i="7"/>
  <c r="V166" i="7"/>
  <c r="Z166" i="7"/>
  <c r="AA166" i="7"/>
  <c r="AB166" i="7"/>
  <c r="AD166" i="7"/>
  <c r="AE166" i="7"/>
  <c r="AF166" i="7"/>
  <c r="AG166" i="7"/>
  <c r="V168" i="7"/>
  <c r="Z168" i="7"/>
  <c r="AA168" i="7"/>
  <c r="AB168" i="7"/>
  <c r="AD168" i="7"/>
  <c r="AE168" i="7"/>
  <c r="AF168" i="7"/>
  <c r="AG168" i="7"/>
  <c r="AA177" i="7"/>
  <c r="AB177" i="7"/>
  <c r="AD177" i="7"/>
  <c r="AE177" i="7"/>
  <c r="AF177" i="7"/>
  <c r="AG177" i="7"/>
  <c r="AA180" i="7"/>
  <c r="AB180" i="7"/>
  <c r="AD180" i="7"/>
  <c r="AE180" i="7"/>
  <c r="AF180" i="7"/>
  <c r="AG180" i="7"/>
  <c r="AA182" i="7"/>
  <c r="AB182" i="7"/>
  <c r="AD182" i="7"/>
  <c r="AE182" i="7"/>
  <c r="AF182" i="7"/>
  <c r="AG182" i="7"/>
  <c r="AA189" i="7"/>
  <c r="AB189" i="7"/>
  <c r="AD189" i="7"/>
  <c r="AE189" i="7"/>
  <c r="AF189" i="7"/>
  <c r="AG189" i="7"/>
  <c r="V190" i="7"/>
  <c r="Z190" i="7"/>
  <c r="AA190" i="7"/>
  <c r="AB190" i="7"/>
  <c r="AD190" i="7"/>
  <c r="AE190" i="7"/>
  <c r="AF190" i="7"/>
  <c r="AG190" i="7"/>
  <c r="V192" i="7"/>
  <c r="Z192" i="7"/>
  <c r="AA192" i="7"/>
  <c r="AB192" i="7"/>
  <c r="AD192" i="7"/>
  <c r="AE192" i="7"/>
  <c r="AF192" i="7"/>
  <c r="AG192" i="7"/>
  <c r="AA196" i="7"/>
  <c r="AB196" i="7"/>
  <c r="AD196" i="7"/>
  <c r="AE196" i="7"/>
  <c r="AF196" i="7"/>
  <c r="AG196" i="7"/>
  <c r="AA197" i="7"/>
  <c r="AB197" i="7"/>
  <c r="AD197" i="7"/>
  <c r="AE197" i="7"/>
  <c r="AF197" i="7"/>
  <c r="AG197" i="7"/>
  <c r="V198" i="7"/>
  <c r="Z198" i="7"/>
  <c r="AA198" i="7"/>
  <c r="AB198" i="7"/>
  <c r="AD198" i="7"/>
  <c r="AE198" i="7"/>
  <c r="AF198" i="7"/>
  <c r="AG198" i="7"/>
  <c r="V200" i="7"/>
  <c r="Z200" i="7"/>
  <c r="AA200" i="7"/>
  <c r="AB200" i="7"/>
  <c r="AD200" i="7"/>
  <c r="AE200" i="7"/>
  <c r="AF200" i="7"/>
  <c r="AG200" i="7"/>
  <c r="AA201" i="7"/>
  <c r="AB201" i="7"/>
  <c r="AD201" i="7"/>
  <c r="AE201" i="7"/>
  <c r="AF201" i="7"/>
  <c r="AG201" i="7"/>
  <c r="AA202" i="7"/>
  <c r="AB202" i="7"/>
  <c r="AD202" i="7"/>
  <c r="AE202" i="7"/>
  <c r="AF202" i="7"/>
  <c r="AG202" i="7"/>
  <c r="AG6" i="7"/>
  <c r="AG7" i="7"/>
  <c r="AF6" i="7"/>
  <c r="AF7" i="7"/>
  <c r="AE6" i="7"/>
  <c r="AE7" i="7"/>
  <c r="AD6" i="7"/>
  <c r="AD7" i="7"/>
  <c r="AB6" i="7"/>
  <c r="AB7" i="7"/>
  <c r="AA6" i="7"/>
  <c r="AA7" i="7"/>
  <c r="AO20" i="7" l="1"/>
  <c r="AO16" i="7"/>
  <c r="BS40" i="22"/>
  <c r="BS39" i="22"/>
  <c r="BS36" i="22"/>
  <c r="BS37" i="22"/>
  <c r="BS38" i="22"/>
  <c r="BS41" i="22" l="1"/>
  <c r="AK25" i="7"/>
  <c r="AL25" i="7" s="1"/>
  <c r="AI26" i="7"/>
  <c r="AK26" i="7"/>
  <c r="AL26" i="7" s="1"/>
  <c r="AK27" i="7"/>
  <c r="AL27" i="7" s="1"/>
  <c r="AI29" i="7"/>
  <c r="AK29" i="7"/>
  <c r="AL29" i="7" s="1"/>
  <c r="AI31" i="7"/>
  <c r="AK31" i="7"/>
  <c r="AL31" i="7" s="1"/>
  <c r="AK33" i="7"/>
  <c r="AL33" i="7" s="1"/>
  <c r="AK35" i="7"/>
  <c r="AL35" i="7" s="1"/>
  <c r="AJ37" i="7"/>
  <c r="AK37" i="7"/>
  <c r="AL37" i="7" s="1"/>
  <c r="AI39" i="7"/>
  <c r="AK39" i="7"/>
  <c r="AL39" i="7" s="1"/>
  <c r="AK41" i="7"/>
  <c r="AL41" i="7" s="1"/>
  <c r="AK43" i="7"/>
  <c r="AL43" i="7" s="1"/>
  <c r="AI44" i="7"/>
  <c r="AJ44" i="7"/>
  <c r="AK44" i="7"/>
  <c r="AL44" i="7" s="1"/>
  <c r="AK45" i="7"/>
  <c r="AL45" i="7" s="1"/>
  <c r="AI46" i="7"/>
  <c r="AJ46" i="7"/>
  <c r="AK46" i="7"/>
  <c r="AL46" i="7" s="1"/>
  <c r="AI47" i="7"/>
  <c r="AK47" i="7"/>
  <c r="AL47" i="7" s="1"/>
  <c r="AI48" i="7"/>
  <c r="AJ48" i="7"/>
  <c r="AK48" i="7"/>
  <c r="AL48" i="7" s="1"/>
  <c r="AI49" i="7"/>
  <c r="AK49" i="7"/>
  <c r="AL49" i="7" s="1"/>
  <c r="AJ50" i="7"/>
  <c r="AK50" i="7"/>
  <c r="AL50" i="7" s="1"/>
  <c r="AI51" i="7"/>
  <c r="AK51" i="7"/>
  <c r="AL51" i="7" s="1"/>
  <c r="AI52" i="7"/>
  <c r="AJ52" i="7"/>
  <c r="AK52" i="7"/>
  <c r="AL52" i="7" s="1"/>
  <c r="AJ53" i="7"/>
  <c r="AK53" i="7"/>
  <c r="AL53" i="7" s="1"/>
  <c r="AI54" i="7"/>
  <c r="AJ54" i="7"/>
  <c r="AK54" i="7"/>
  <c r="AL54" i="7" s="1"/>
  <c r="AK55" i="7"/>
  <c r="AL55" i="7" s="1"/>
  <c r="AK57" i="7"/>
  <c r="AL57" i="7" s="1"/>
  <c r="AI58" i="7"/>
  <c r="AJ58" i="7"/>
  <c r="AK58" i="7"/>
  <c r="AL58" i="7" s="1"/>
  <c r="AK59" i="7"/>
  <c r="AL59" i="7" s="1"/>
  <c r="AI60" i="7"/>
  <c r="AJ60" i="7"/>
  <c r="AK60" i="7"/>
  <c r="AL60" i="7" s="1"/>
  <c r="AK64" i="7"/>
  <c r="AL64" i="7" s="1"/>
  <c r="AK65" i="7"/>
  <c r="AL65" i="7" s="1"/>
  <c r="AI66" i="7"/>
  <c r="AJ66" i="7"/>
  <c r="AK66" i="7"/>
  <c r="AL66" i="7" s="1"/>
  <c r="AJ67" i="7"/>
  <c r="AK67" i="7"/>
  <c r="AL67" i="7" s="1"/>
  <c r="AI68" i="7"/>
  <c r="AJ68" i="7"/>
  <c r="AK68" i="7"/>
  <c r="AL68" i="7" s="1"/>
  <c r="AK69" i="7"/>
  <c r="AL69" i="7" s="1"/>
  <c r="AI70" i="7"/>
  <c r="AJ70" i="7"/>
  <c r="AK70" i="7"/>
  <c r="AL70" i="7" s="1"/>
  <c r="AK71" i="7"/>
  <c r="AL71" i="7" s="1"/>
  <c r="AI72" i="7"/>
  <c r="AJ72" i="7"/>
  <c r="AK72" i="7"/>
  <c r="AL72" i="7" s="1"/>
  <c r="AK73" i="7"/>
  <c r="AL73" i="7" s="1"/>
  <c r="AI74" i="7"/>
  <c r="AJ74" i="7"/>
  <c r="AK74" i="7"/>
  <c r="AL74" i="7" s="1"/>
  <c r="AJ75" i="7"/>
  <c r="AK75" i="7"/>
  <c r="AL75" i="7" s="1"/>
  <c r="AI76" i="7"/>
  <c r="AJ76" i="7"/>
  <c r="AK76" i="7"/>
  <c r="AL76" i="7" s="1"/>
  <c r="AK77" i="7"/>
  <c r="AL77" i="7" s="1"/>
  <c r="AI78" i="7"/>
  <c r="AJ78" i="7"/>
  <c r="AK78" i="7"/>
  <c r="AL78" i="7" s="1"/>
  <c r="AI79" i="7"/>
  <c r="AJ79" i="7"/>
  <c r="AK79" i="7"/>
  <c r="AL79" i="7" s="1"/>
  <c r="AI80" i="7"/>
  <c r="AJ80" i="7"/>
  <c r="AK80" i="7"/>
  <c r="AL80" i="7" s="1"/>
  <c r="AK81" i="7"/>
  <c r="AL81" i="7" s="1"/>
  <c r="AI82" i="7"/>
  <c r="AJ82" i="7"/>
  <c r="AK82" i="7"/>
  <c r="AL82" i="7" s="1"/>
  <c r="AK83" i="7"/>
  <c r="AL83" i="7" s="1"/>
  <c r="AI84" i="7"/>
  <c r="AJ84" i="7"/>
  <c r="AK84" i="7"/>
  <c r="AL84" i="7" s="1"/>
  <c r="AK85" i="7"/>
  <c r="AL85" i="7" s="1"/>
  <c r="AI86" i="7"/>
  <c r="AJ86" i="7"/>
  <c r="AK86" i="7"/>
  <c r="AL86" i="7" s="1"/>
  <c r="AK87" i="7"/>
  <c r="AL87" i="7" s="1"/>
  <c r="AI88" i="7"/>
  <c r="AJ88" i="7"/>
  <c r="AK88" i="7"/>
  <c r="AL88" i="7" s="1"/>
  <c r="AK89" i="7"/>
  <c r="AL89" i="7" s="1"/>
  <c r="AK91" i="7"/>
  <c r="AL91" i="7" s="1"/>
  <c r="AI92" i="7"/>
  <c r="AJ92" i="7"/>
  <c r="AK92" i="7"/>
  <c r="AL92" i="7" s="1"/>
  <c r="AK93" i="7"/>
  <c r="AL93" i="7" s="1"/>
  <c r="AI94" i="7"/>
  <c r="AJ94" i="7"/>
  <c r="AK94" i="7"/>
  <c r="AL94" i="7" s="1"/>
  <c r="AK95" i="7"/>
  <c r="AL95" i="7" s="1"/>
  <c r="AI96" i="7"/>
  <c r="AJ96" i="7"/>
  <c r="AK96" i="7"/>
  <c r="AL96" i="7" s="1"/>
  <c r="AK97" i="7"/>
  <c r="AL97" i="7" s="1"/>
  <c r="AH98" i="7"/>
  <c r="AI98" i="7"/>
  <c r="AJ98" i="7"/>
  <c r="AK98" i="7"/>
  <c r="AL98" i="7" s="1"/>
  <c r="AK99" i="7"/>
  <c r="AL99" i="7" s="1"/>
  <c r="AK101" i="7"/>
  <c r="AL101" i="7" s="1"/>
  <c r="AI103" i="7"/>
  <c r="AK103" i="7"/>
  <c r="AL103" i="7" s="1"/>
  <c r="AK105" i="7"/>
  <c r="AL105" i="7" s="1"/>
  <c r="AH106" i="7"/>
  <c r="AI106" i="7"/>
  <c r="AJ106" i="7"/>
  <c r="AK106" i="7"/>
  <c r="AL106" i="7" s="1"/>
  <c r="AK107" i="7"/>
  <c r="AL107" i="7" s="1"/>
  <c r="AI108" i="7"/>
  <c r="AJ108" i="7"/>
  <c r="AK108" i="7"/>
  <c r="AL108" i="7" s="1"/>
  <c r="AJ109" i="7"/>
  <c r="AK109" i="7"/>
  <c r="AL109" i="7" s="1"/>
  <c r="AI110" i="7"/>
  <c r="AJ110" i="7"/>
  <c r="AK110" i="7"/>
  <c r="AL110" i="7" s="1"/>
  <c r="AK111" i="7"/>
  <c r="AL111" i="7" s="1"/>
  <c r="AI112" i="7"/>
  <c r="AJ112" i="7"/>
  <c r="AK112" i="7"/>
  <c r="AL112" i="7" s="1"/>
  <c r="AK113" i="7"/>
  <c r="AL113" i="7" s="1"/>
  <c r="AI114" i="7"/>
  <c r="AJ114" i="7"/>
  <c r="AK114" i="7"/>
  <c r="AL114" i="7" s="1"/>
  <c r="AK115" i="7"/>
  <c r="AL115" i="7" s="1"/>
  <c r="AK117" i="7"/>
  <c r="AL117" i="7" s="1"/>
  <c r="AK119" i="7"/>
  <c r="AL119" i="7" s="1"/>
  <c r="AI121" i="7"/>
  <c r="AK121" i="7"/>
  <c r="AL121" i="7" s="1"/>
  <c r="AK123" i="7"/>
  <c r="AL123" i="7" s="1"/>
  <c r="AK125" i="7"/>
  <c r="AL125" i="7" s="1"/>
  <c r="AK127" i="7"/>
  <c r="AL127" i="7" s="1"/>
  <c r="AK129" i="7"/>
  <c r="AL129" i="7" s="1"/>
  <c r="AK131" i="7"/>
  <c r="AL131" i="7" s="1"/>
  <c r="AI132" i="7"/>
  <c r="AJ132" i="7"/>
  <c r="AK132" i="7"/>
  <c r="AL132" i="7" s="1"/>
  <c r="AK133" i="7"/>
  <c r="AL133" i="7" s="1"/>
  <c r="AK135" i="7"/>
  <c r="AL135" i="7" s="1"/>
  <c r="AK137" i="7"/>
  <c r="AL137" i="7" s="1"/>
  <c r="AH138" i="7"/>
  <c r="AI138" i="7"/>
  <c r="AJ138" i="7"/>
  <c r="AK138" i="7"/>
  <c r="AL138" i="7" s="1"/>
  <c r="AK139" i="7"/>
  <c r="AL139" i="7" s="1"/>
  <c r="AH140" i="7"/>
  <c r="AI140" i="7"/>
  <c r="AJ140" i="7"/>
  <c r="AK140" i="7"/>
  <c r="AL140" i="7" s="1"/>
  <c r="AK141" i="7"/>
  <c r="AL141" i="7" s="1"/>
  <c r="AI142" i="7"/>
  <c r="AJ142" i="7"/>
  <c r="AK142" i="7"/>
  <c r="AL142" i="7" s="1"/>
  <c r="AK143" i="7"/>
  <c r="AL143" i="7" s="1"/>
  <c r="AI144" i="7"/>
  <c r="AJ144" i="7"/>
  <c r="AK144" i="7"/>
  <c r="AL144" i="7" s="1"/>
  <c r="AK145" i="7"/>
  <c r="AL145" i="7" s="1"/>
  <c r="AI146" i="7"/>
  <c r="AJ146" i="7"/>
  <c r="AK146" i="7"/>
  <c r="AL146" i="7" s="1"/>
  <c r="AK147" i="7"/>
  <c r="AL147" i="7" s="1"/>
  <c r="AK149" i="7"/>
  <c r="AL149" i="7" s="1"/>
  <c r="AH150" i="7"/>
  <c r="AI150" i="7"/>
  <c r="AJ150" i="7"/>
  <c r="AK150" i="7"/>
  <c r="AL150" i="7" s="1"/>
  <c r="AK151" i="7"/>
  <c r="AL151" i="7" s="1"/>
  <c r="AI152" i="7"/>
  <c r="AJ152" i="7"/>
  <c r="AK152" i="7"/>
  <c r="AL152" i="7" s="1"/>
  <c r="AK153" i="7"/>
  <c r="AL153" i="7" s="1"/>
  <c r="AH154" i="7"/>
  <c r="AI154" i="7"/>
  <c r="AJ154" i="7"/>
  <c r="AK154" i="7"/>
  <c r="AL154" i="7" s="1"/>
  <c r="AK155" i="7"/>
  <c r="AL155" i="7" s="1"/>
  <c r="AH156" i="7"/>
  <c r="AI156" i="7"/>
  <c r="AJ156" i="7"/>
  <c r="AK156" i="7"/>
  <c r="AL156" i="7" s="1"/>
  <c r="AK157" i="7"/>
  <c r="AL157" i="7" s="1"/>
  <c r="AI158" i="7"/>
  <c r="AJ158" i="7"/>
  <c r="AK158" i="7"/>
  <c r="AL158" i="7" s="1"/>
  <c r="AK159" i="7"/>
  <c r="AL159" i="7" s="1"/>
  <c r="AJ161" i="7"/>
  <c r="AK161" i="7"/>
  <c r="AL161" i="7" s="1"/>
  <c r="AK163" i="7"/>
  <c r="AL163" i="7" s="1"/>
  <c r="AK165" i="7"/>
  <c r="AL165" i="7" s="1"/>
  <c r="AI166" i="7"/>
  <c r="AJ166" i="7"/>
  <c r="AK166" i="7"/>
  <c r="AL166" i="7" s="1"/>
  <c r="AK167" i="7"/>
  <c r="AL167" i="7" s="1"/>
  <c r="AI168" i="7"/>
  <c r="AJ168" i="7"/>
  <c r="AK168" i="7"/>
  <c r="AL168" i="7" s="1"/>
  <c r="AK169" i="7"/>
  <c r="AL169" i="7" s="1"/>
  <c r="AJ171" i="7"/>
  <c r="AK171" i="7"/>
  <c r="AL171" i="7" s="1"/>
  <c r="AK173" i="7"/>
  <c r="AL173" i="7" s="1"/>
  <c r="AK175" i="7"/>
  <c r="AL175" i="7" s="1"/>
  <c r="AI177" i="7"/>
  <c r="AK177" i="7"/>
  <c r="AL177" i="7" s="1"/>
  <c r="AK179" i="7"/>
  <c r="AL179" i="7" s="1"/>
  <c r="AI180" i="7"/>
  <c r="AJ180" i="7"/>
  <c r="AK180" i="7"/>
  <c r="AL180" i="7" s="1"/>
  <c r="AK181" i="7"/>
  <c r="AL181" i="7" s="1"/>
  <c r="AI182" i="7"/>
  <c r="AJ182" i="7"/>
  <c r="AK182" i="7"/>
  <c r="AL182" i="7" s="1"/>
  <c r="AK183" i="7"/>
  <c r="AL183" i="7" s="1"/>
  <c r="AK185" i="7"/>
  <c r="AL185" i="7" s="1"/>
  <c r="AK187" i="7"/>
  <c r="AL187" i="7" s="1"/>
  <c r="AI189" i="7"/>
  <c r="AK189" i="7"/>
  <c r="AL189" i="7" s="1"/>
  <c r="AI190" i="7"/>
  <c r="AJ190" i="7"/>
  <c r="AK190" i="7"/>
  <c r="AL190" i="7" s="1"/>
  <c r="AK191" i="7"/>
  <c r="AL191" i="7" s="1"/>
  <c r="AI192" i="7"/>
  <c r="AJ192" i="7"/>
  <c r="AK192" i="7"/>
  <c r="AL192" i="7" s="1"/>
  <c r="AK193" i="7"/>
  <c r="AL193" i="7" s="1"/>
  <c r="AK195" i="7"/>
  <c r="AL195" i="7" s="1"/>
  <c r="AI196" i="7"/>
  <c r="AJ196" i="7"/>
  <c r="AK196" i="7"/>
  <c r="AL196" i="7" s="1"/>
  <c r="AI197" i="7"/>
  <c r="AK197" i="7"/>
  <c r="AL197" i="7" s="1"/>
  <c r="AI198" i="7"/>
  <c r="AJ198" i="7"/>
  <c r="AK198" i="7"/>
  <c r="AL198" i="7" s="1"/>
  <c r="AK199" i="7"/>
  <c r="AL199" i="7" s="1"/>
  <c r="AI200" i="7"/>
  <c r="AJ200" i="7"/>
  <c r="AK200" i="7"/>
  <c r="AL200" i="7" s="1"/>
  <c r="AI201" i="7"/>
  <c r="AK201" i="7"/>
  <c r="AL201" i="7" s="1"/>
  <c r="AI202" i="7"/>
  <c r="AJ202" i="7"/>
  <c r="AK202" i="7"/>
  <c r="AL202" i="7" s="1"/>
  <c r="AI6" i="7"/>
  <c r="AJ6" i="7"/>
  <c r="AK6" i="7"/>
  <c r="AL6" i="7" s="1"/>
  <c r="AI7" i="7"/>
  <c r="AK7" i="7"/>
  <c r="AL7" i="7" s="1"/>
  <c r="AI9" i="7"/>
  <c r="AJ9" i="7"/>
  <c r="AK9" i="7"/>
  <c r="AL9" i="7" s="1"/>
  <c r="AI10" i="7"/>
  <c r="AJ10" i="7"/>
  <c r="AK10" i="7"/>
  <c r="AL10" i="7" s="1"/>
  <c r="AI11" i="7"/>
  <c r="AK11" i="7"/>
  <c r="AL11" i="7" s="1"/>
  <c r="AI13" i="7"/>
  <c r="AK13" i="7"/>
  <c r="AL13" i="7" s="1"/>
  <c r="AJ15" i="7"/>
  <c r="AK15" i="7"/>
  <c r="AL15" i="7" s="1"/>
  <c r="AI16" i="7"/>
  <c r="AK16" i="7"/>
  <c r="AL16" i="7" s="1"/>
  <c r="AK17" i="7"/>
  <c r="AL17" i="7" s="1"/>
  <c r="AK19" i="7"/>
  <c r="AL19" i="7" s="1"/>
  <c r="AI20" i="7"/>
  <c r="AK20" i="7"/>
  <c r="AL20" i="7" s="1"/>
  <c r="AK23" i="7"/>
  <c r="AL23" i="7" s="1"/>
  <c r="AK5" i="7"/>
  <c r="AL5" i="7" s="1"/>
  <c r="Y56" i="7" l="1"/>
  <c r="AR56" i="7" s="1"/>
  <c r="AD5" i="27"/>
  <c r="Y106" i="7"/>
  <c r="Y156" i="7"/>
  <c r="Y138" i="7"/>
  <c r="Y150" i="7"/>
  <c r="Y154" i="7"/>
  <c r="Y76" i="7"/>
  <c r="Y108" i="7"/>
  <c r="Y10" i="7"/>
  <c r="Y16" i="7"/>
  <c r="Y20" i="7"/>
  <c r="Y44" i="7"/>
  <c r="Y58" i="7"/>
  <c r="Y66" i="7"/>
  <c r="Y72" i="7"/>
  <c r="Y80" i="7"/>
  <c r="Y158" i="7"/>
  <c r="Y166" i="7"/>
  <c r="Y190" i="7"/>
  <c r="Y200" i="7"/>
  <c r="Y46" i="7"/>
  <c r="Y52" i="7"/>
  <c r="Y86" i="7"/>
  <c r="Y168" i="7"/>
  <c r="Y192" i="7"/>
  <c r="Y198" i="7"/>
  <c r="W8" i="24"/>
  <c r="AD8" i="24" s="1"/>
  <c r="W9" i="24"/>
  <c r="AD9" i="24" s="1"/>
  <c r="Y152" i="7"/>
  <c r="H46" i="8"/>
  <c r="U98" i="7" l="1"/>
  <c r="T56" i="7"/>
  <c r="AM56" i="7" s="1"/>
  <c r="Y5" i="27"/>
  <c r="T138" i="7"/>
  <c r="T150" i="7"/>
  <c r="T154" i="7"/>
  <c r="T106" i="7"/>
  <c r="T156" i="7"/>
  <c r="V98" i="7"/>
  <c r="W98" i="7"/>
  <c r="X98" i="7"/>
  <c r="X56" i="7"/>
  <c r="AQ56" i="7" s="1"/>
  <c r="AC5" i="27"/>
  <c r="X138" i="7"/>
  <c r="X150" i="7"/>
  <c r="X154" i="7"/>
  <c r="X106" i="7"/>
  <c r="X156" i="7"/>
  <c r="U56" i="7"/>
  <c r="AN56" i="7" s="1"/>
  <c r="Z5" i="27"/>
  <c r="U138" i="7"/>
  <c r="U106" i="7"/>
  <c r="U156" i="7"/>
  <c r="U150" i="7"/>
  <c r="U154" i="7"/>
  <c r="W56" i="7"/>
  <c r="AP56" i="7" s="1"/>
  <c r="AB5" i="27"/>
  <c r="W150" i="7"/>
  <c r="W154" i="7"/>
  <c r="W106" i="7"/>
  <c r="W156" i="7"/>
  <c r="W138" i="7"/>
  <c r="Y98" i="7"/>
  <c r="AV5" i="27"/>
  <c r="V152" i="7"/>
  <c r="W76" i="7"/>
  <c r="W108" i="7"/>
  <c r="U76" i="7"/>
  <c r="U108" i="7"/>
  <c r="T108" i="7"/>
  <c r="T76" i="7"/>
  <c r="X108" i="7"/>
  <c r="X76" i="7"/>
  <c r="U10" i="7"/>
  <c r="U16" i="7"/>
  <c r="U20" i="7"/>
  <c r="U44" i="7"/>
  <c r="U52" i="7"/>
  <c r="U58" i="7"/>
  <c r="U66" i="7"/>
  <c r="U72" i="7"/>
  <c r="U80" i="7"/>
  <c r="U158" i="7"/>
  <c r="U166" i="7"/>
  <c r="U190" i="7"/>
  <c r="U200" i="7"/>
  <c r="U46" i="7"/>
  <c r="U86" i="7"/>
  <c r="U152" i="7"/>
  <c r="U168" i="7"/>
  <c r="U192" i="7"/>
  <c r="U198" i="7"/>
  <c r="W10" i="7"/>
  <c r="W16" i="7"/>
  <c r="W20" i="7"/>
  <c r="W44" i="7"/>
  <c r="W58" i="7"/>
  <c r="W66" i="7"/>
  <c r="W72" i="7"/>
  <c r="W80" i="7"/>
  <c r="W158" i="7"/>
  <c r="W166" i="7"/>
  <c r="W190" i="7"/>
  <c r="W200" i="7"/>
  <c r="W46" i="7"/>
  <c r="W52" i="7"/>
  <c r="W86" i="7"/>
  <c r="W152" i="7"/>
  <c r="W168" i="7"/>
  <c r="W192" i="7"/>
  <c r="W198" i="7"/>
  <c r="T46" i="7"/>
  <c r="T86" i="7"/>
  <c r="T152" i="7"/>
  <c r="T168" i="7"/>
  <c r="T192" i="7"/>
  <c r="T198" i="7"/>
  <c r="T10" i="7"/>
  <c r="T16" i="7"/>
  <c r="T20" i="7"/>
  <c r="T44" i="7"/>
  <c r="T52" i="7"/>
  <c r="T58" i="7"/>
  <c r="T66" i="7"/>
  <c r="T72" i="7"/>
  <c r="T80" i="7"/>
  <c r="T158" i="7"/>
  <c r="T166" i="7"/>
  <c r="T190" i="7"/>
  <c r="T200" i="7"/>
  <c r="X46" i="7"/>
  <c r="X52" i="7"/>
  <c r="X86" i="7"/>
  <c r="X152" i="7"/>
  <c r="X168" i="7"/>
  <c r="X192" i="7"/>
  <c r="X198" i="7"/>
  <c r="X10" i="7"/>
  <c r="X16" i="7"/>
  <c r="X20" i="7"/>
  <c r="X44" i="7"/>
  <c r="X58" i="7"/>
  <c r="X66" i="7"/>
  <c r="X72" i="7"/>
  <c r="X80" i="7"/>
  <c r="X158" i="7"/>
  <c r="X166" i="7"/>
  <c r="X190" i="7"/>
  <c r="X200" i="7"/>
  <c r="R7" i="24"/>
  <c r="Y7" i="24" s="1"/>
  <c r="T7" i="24"/>
  <c r="V7" i="24"/>
  <c r="AC7" i="24" s="1"/>
  <c r="S7" i="24"/>
  <c r="Z7" i="24" s="1"/>
  <c r="W7" i="24"/>
  <c r="AD7" i="24" s="1"/>
  <c r="U71" i="7"/>
  <c r="T71" i="7"/>
  <c r="R8" i="24"/>
  <c r="Y8" i="24" s="1"/>
  <c r="R10" i="24"/>
  <c r="Y10" i="24" s="1"/>
  <c r="S9" i="24"/>
  <c r="Z9" i="24" s="1"/>
  <c r="V71" i="7"/>
  <c r="T10" i="24"/>
  <c r="W71" i="7"/>
  <c r="U9" i="24"/>
  <c r="AB9" i="24" s="1"/>
  <c r="X71" i="7"/>
  <c r="V8" i="24"/>
  <c r="AC8" i="24" s="1"/>
  <c r="V10" i="24"/>
  <c r="AC10" i="24" s="1"/>
  <c r="R9" i="24"/>
  <c r="Y9" i="24" s="1"/>
  <c r="S8" i="24"/>
  <c r="Z8" i="24" s="1"/>
  <c r="S10" i="24"/>
  <c r="Z10" i="24" s="1"/>
  <c r="U8" i="24"/>
  <c r="AB8" i="24" s="1"/>
  <c r="U10" i="24"/>
  <c r="AB10" i="24" s="1"/>
  <c r="V9" i="24"/>
  <c r="AC9" i="24" s="1"/>
  <c r="Y71" i="7"/>
  <c r="AQ5" i="27" l="1"/>
  <c r="AT5" i="27"/>
  <c r="AR5" i="27"/>
  <c r="AU5" i="27"/>
  <c r="U139" i="7"/>
  <c r="W139" i="7"/>
  <c r="Y139" i="7"/>
  <c r="T139" i="7"/>
  <c r="V139" i="7"/>
  <c r="X139" i="7"/>
  <c r="Z139" i="7"/>
  <c r="U75" i="7"/>
  <c r="W75" i="7"/>
  <c r="Y75" i="7"/>
  <c r="T75" i="7"/>
  <c r="V75" i="7"/>
  <c r="X75" i="7"/>
  <c r="Z75" i="7"/>
  <c r="U97" i="7"/>
  <c r="W97" i="7"/>
  <c r="Y97" i="7"/>
  <c r="T97" i="7"/>
  <c r="V97" i="7"/>
  <c r="X97" i="7"/>
  <c r="Z97" i="7"/>
  <c r="C16" i="8" l="1"/>
  <c r="C17" i="8"/>
  <c r="C15" i="8"/>
  <c r="R27" i="22" s="1"/>
  <c r="R24" i="22" l="1"/>
  <c r="R22" i="22"/>
  <c r="R6" i="22"/>
  <c r="R9" i="22"/>
  <c r="R19" i="22"/>
  <c r="R23" i="22"/>
  <c r="R14" i="22"/>
  <c r="R13" i="22"/>
  <c r="R16" i="22"/>
  <c r="R18" i="22"/>
  <c r="R20" i="22"/>
  <c r="R7" i="22"/>
  <c r="R21" i="22"/>
  <c r="R11" i="22"/>
  <c r="R26" i="22"/>
  <c r="R10" i="22"/>
  <c r="R8" i="22"/>
  <c r="S12" i="34"/>
  <c r="S11" i="34"/>
  <c r="S13" i="34"/>
  <c r="AH13" i="34" s="1"/>
  <c r="S14" i="34"/>
  <c r="S15" i="34"/>
  <c r="S18" i="34"/>
  <c r="S16" i="34"/>
  <c r="S17" i="34"/>
  <c r="R5" i="22"/>
  <c r="S5" i="34"/>
  <c r="S6" i="34"/>
  <c r="S10" i="34"/>
  <c r="S9" i="34"/>
  <c r="S7" i="34"/>
  <c r="S8" i="34"/>
  <c r="T6" i="22" l="1"/>
  <c r="T8" i="22"/>
  <c r="T10" i="22"/>
  <c r="BI10" i="22" s="1"/>
  <c r="S19" i="34"/>
  <c r="BI26" i="22"/>
  <c r="BJ26" i="22"/>
  <c r="BW27" i="22"/>
  <c r="BI27" i="22"/>
  <c r="BW23" i="22"/>
  <c r="AH19" i="22"/>
  <c r="AA19" i="22"/>
  <c r="BU19" i="22"/>
  <c r="U19" i="22"/>
  <c r="AR19" i="22" s="1"/>
  <c r="AC19" i="22"/>
  <c r="V19" i="22"/>
  <c r="Z19" i="22"/>
  <c r="AD19" i="22"/>
  <c r="AE19" i="22"/>
  <c r="W19" i="22"/>
  <c r="AT19" i="22" s="1"/>
  <c r="Y19" i="22"/>
  <c r="AG19" i="22"/>
  <c r="X19" i="22"/>
  <c r="AB19" i="22"/>
  <c r="AF19" i="22"/>
  <c r="U7" i="8"/>
  <c r="S7" i="8"/>
  <c r="Q7" i="8"/>
  <c r="O7" i="8" s="1"/>
  <c r="U6" i="8"/>
  <c r="S6" i="8"/>
  <c r="Q6" i="8"/>
  <c r="O6" i="8" s="1"/>
  <c r="U5" i="8"/>
  <c r="S5" i="8"/>
  <c r="Q5" i="8"/>
  <c r="O5" i="8" s="1"/>
  <c r="U4" i="8"/>
  <c r="S4" i="8"/>
  <c r="Q4" i="8"/>
  <c r="O4" i="8" s="1"/>
  <c r="U3" i="8"/>
  <c r="S3" i="8"/>
  <c r="Q3" i="8"/>
  <c r="O3" i="8" s="1"/>
  <c r="AA6" i="22" l="1"/>
  <c r="BU6" i="22"/>
  <c r="BI6" i="22"/>
  <c r="AH6" i="22"/>
  <c r="AB6" i="22"/>
  <c r="X6" i="22"/>
  <c r="Y6" i="22"/>
  <c r="U6" i="22"/>
  <c r="AR6" i="22" s="1"/>
  <c r="W6" i="22"/>
  <c r="AT6" i="22" s="1"/>
  <c r="AF6" i="22"/>
  <c r="V6" i="22"/>
  <c r="Z6" i="22"/>
  <c r="AD6" i="22"/>
  <c r="AC6" i="22"/>
  <c r="AE6" i="22"/>
  <c r="AG6" i="22"/>
  <c r="BI8" i="22"/>
  <c r="BU8" i="22"/>
  <c r="BI24" i="22"/>
  <c r="BW24" i="22"/>
  <c r="W24" i="22"/>
  <c r="AH24" i="22"/>
  <c r="U24" i="22"/>
  <c r="AC24" i="22"/>
  <c r="X24" i="22"/>
  <c r="AB24" i="22"/>
  <c r="AF24" i="22"/>
  <c r="AG24" i="22"/>
  <c r="AE24" i="22"/>
  <c r="AA24" i="22"/>
  <c r="Y24" i="22"/>
  <c r="V24" i="22"/>
  <c r="Z24" i="22"/>
  <c r="AD24" i="22"/>
  <c r="AA28" i="22"/>
  <c r="BU28" i="22"/>
  <c r="W28" i="22"/>
  <c r="AT28" i="22" s="1"/>
  <c r="U28" i="22"/>
  <c r="AR28" i="22" s="1"/>
  <c r="AC28" i="22"/>
  <c r="X28" i="22"/>
  <c r="AB28" i="22"/>
  <c r="AF28" i="22"/>
  <c r="AG28" i="22"/>
  <c r="AH28" i="22"/>
  <c r="AE28" i="22"/>
  <c r="Y28" i="22"/>
  <c r="V28" i="22"/>
  <c r="Z28" i="22"/>
  <c r="AD28" i="22"/>
  <c r="B6" i="15"/>
  <c r="C6" i="15" s="1"/>
  <c r="E10" i="25"/>
  <c r="E11" i="25" s="1"/>
  <c r="O8" i="25"/>
  <c r="O9" i="25"/>
  <c r="P20" i="25" s="1"/>
  <c r="O10" i="25"/>
  <c r="P19" i="25" s="1"/>
  <c r="O11" i="25"/>
  <c r="N11" i="25"/>
  <c r="N10" i="25"/>
  <c r="N19" i="25" s="1"/>
  <c r="N9" i="25"/>
  <c r="N20" i="25" s="1"/>
  <c r="N8" i="25"/>
  <c r="H5" i="25"/>
  <c r="H4" i="25" s="1"/>
  <c r="C10" i="25"/>
  <c r="C11" i="25" s="1"/>
  <c r="D10" i="25"/>
  <c r="D11" i="25" s="1"/>
  <c r="F10" i="25"/>
  <c r="F11" i="25" s="1"/>
  <c r="G10" i="25"/>
  <c r="G11" i="25" s="1"/>
  <c r="F49" i="25"/>
  <c r="G49" i="25"/>
  <c r="D50" i="25"/>
  <c r="D51" i="25"/>
  <c r="E51" i="25"/>
  <c r="F51" i="25"/>
  <c r="G51" i="25"/>
  <c r="Q5" i="25"/>
  <c r="R5" i="25" s="1"/>
  <c r="Q6" i="25"/>
  <c r="R6" i="25" s="1"/>
  <c r="R7" i="25"/>
  <c r="Q8" i="25"/>
  <c r="R8" i="25" s="1"/>
  <c r="Q9" i="25"/>
  <c r="Q10" i="25"/>
  <c r="M19" i="25" s="1"/>
  <c r="Q11" i="25"/>
  <c r="AR24" i="22" l="1"/>
  <c r="AT24" i="22"/>
  <c r="N21" i="25"/>
  <c r="R9" i="25"/>
  <c r="L20" i="25" s="1"/>
  <c r="M20" i="25"/>
  <c r="M21" i="25" s="1"/>
  <c r="P21" i="25"/>
  <c r="H11" i="25"/>
  <c r="G14" i="25"/>
  <c r="D14" i="25"/>
  <c r="E14" i="25"/>
  <c r="F14" i="25"/>
  <c r="C14" i="25"/>
  <c r="H10" i="25"/>
  <c r="R11" i="25"/>
  <c r="R10" i="25"/>
  <c r="L19" i="25" s="1"/>
  <c r="L21" i="25" s="1"/>
  <c r="H14" i="25" l="1"/>
  <c r="C16" i="25" s="1"/>
  <c r="C17" i="25" s="1"/>
  <c r="C25" i="25" s="1"/>
  <c r="G27" i="25" l="1"/>
  <c r="G31" i="25" s="1"/>
  <c r="G59" i="25" s="1"/>
  <c r="F16" i="25"/>
  <c r="F18" i="25" s="1"/>
  <c r="F26" i="25" s="1"/>
  <c r="F30" i="25" s="1"/>
  <c r="F34" i="25" s="1"/>
  <c r="F27" i="25"/>
  <c r="F31" i="25" s="1"/>
  <c r="E16" i="25"/>
  <c r="G25" i="25"/>
  <c r="G29" i="25" s="1"/>
  <c r="G33" i="25" s="1"/>
  <c r="D16" i="25"/>
  <c r="D17" i="25" s="1"/>
  <c r="D25" i="25" s="1"/>
  <c r="D29" i="25" s="1"/>
  <c r="D57" i="25" s="1"/>
  <c r="G35" i="25"/>
  <c r="G16" i="25"/>
  <c r="G18" i="25" s="1"/>
  <c r="G26" i="25" s="1"/>
  <c r="G30" i="25" s="1"/>
  <c r="G34" i="25" s="1"/>
  <c r="D27" i="25"/>
  <c r="D31" i="25" s="1"/>
  <c r="F25" i="25"/>
  <c r="F29" i="25" s="1"/>
  <c r="C19" i="25"/>
  <c r="C27" i="25" s="1"/>
  <c r="D26" i="25"/>
  <c r="D30" i="25" s="1"/>
  <c r="C18" i="25"/>
  <c r="C29" i="25"/>
  <c r="D33" i="25" l="1"/>
  <c r="F46" i="25"/>
  <c r="F50" i="25" s="1"/>
  <c r="F38" i="25"/>
  <c r="F54" i="25"/>
  <c r="D41" i="25"/>
  <c r="H16" i="25"/>
  <c r="F42" i="25"/>
  <c r="F58" i="25"/>
  <c r="D37" i="25"/>
  <c r="F35" i="25"/>
  <c r="F59" i="25"/>
  <c r="G57" i="25"/>
  <c r="E17" i="25"/>
  <c r="E25" i="25" s="1"/>
  <c r="E18" i="25"/>
  <c r="E26" i="25" s="1"/>
  <c r="E30" i="25" s="1"/>
  <c r="E19" i="25"/>
  <c r="E27" i="25" s="1"/>
  <c r="E31" i="25" s="1"/>
  <c r="C31" i="25"/>
  <c r="C39" i="25" s="1"/>
  <c r="H17" i="25"/>
  <c r="D45" i="25"/>
  <c r="D49" i="25" s="1"/>
  <c r="D53" i="25"/>
  <c r="G58" i="25"/>
  <c r="G42" i="25"/>
  <c r="G54" i="25"/>
  <c r="G46" i="25"/>
  <c r="G50" i="25" s="1"/>
  <c r="G38" i="25"/>
  <c r="D59" i="25"/>
  <c r="D35" i="25"/>
  <c r="F57" i="25"/>
  <c r="F33" i="25"/>
  <c r="D58" i="25"/>
  <c r="D34" i="25"/>
  <c r="C26" i="25"/>
  <c r="C33" i="25"/>
  <c r="I33" i="25" s="1"/>
  <c r="C53" i="25"/>
  <c r="I53" i="25" s="1"/>
  <c r="C37" i="25"/>
  <c r="I37" i="25" s="1"/>
  <c r="C41" i="25"/>
  <c r="I41" i="25" s="1"/>
  <c r="C45" i="25"/>
  <c r="I45" i="25" s="1"/>
  <c r="C57" i="25"/>
  <c r="I57" i="25" s="1"/>
  <c r="H19" i="25" l="1"/>
  <c r="H39" i="25"/>
  <c r="I39" i="25"/>
  <c r="C35" i="25"/>
  <c r="I35" i="25" s="1"/>
  <c r="C55" i="25"/>
  <c r="H18" i="25"/>
  <c r="C43" i="25"/>
  <c r="C59" i="25"/>
  <c r="I59" i="25" s="1"/>
  <c r="C47" i="25"/>
  <c r="H31" i="25"/>
  <c r="L49" i="25" s="1"/>
  <c r="N49" i="25" s="1"/>
  <c r="O49" i="25" s="1"/>
  <c r="F17" i="37" s="1"/>
  <c r="E54" i="25"/>
  <c r="E46" i="25"/>
  <c r="E50" i="25" s="1"/>
  <c r="E34" i="25"/>
  <c r="E42" i="25"/>
  <c r="E38" i="25"/>
  <c r="E58" i="25"/>
  <c r="E59" i="25"/>
  <c r="E35" i="25"/>
  <c r="H35" i="25" s="1"/>
  <c r="E29" i="25"/>
  <c r="H25" i="25"/>
  <c r="H27" i="25"/>
  <c r="C30" i="25"/>
  <c r="H26" i="25"/>
  <c r="C49" i="25"/>
  <c r="I49" i="25" s="1"/>
  <c r="H47" i="25"/>
  <c r="F17" i="38" l="1"/>
  <c r="F18" i="38" s="1"/>
  <c r="F18" i="37"/>
  <c r="C51" i="25"/>
  <c r="I47" i="25"/>
  <c r="H43" i="25"/>
  <c r="I43" i="25"/>
  <c r="H55" i="25"/>
  <c r="I55" i="25"/>
  <c r="H59" i="25"/>
  <c r="E33" i="25"/>
  <c r="H33" i="25" s="1"/>
  <c r="E57" i="25"/>
  <c r="H57" i="25" s="1"/>
  <c r="E45" i="25"/>
  <c r="E41" i="25"/>
  <c r="H41" i="25" s="1"/>
  <c r="E37" i="25"/>
  <c r="H37" i="25" s="1"/>
  <c r="E53" i="25"/>
  <c r="H53" i="25" s="1"/>
  <c r="H29" i="25"/>
  <c r="L47" i="25" s="1"/>
  <c r="N47" i="25" s="1"/>
  <c r="C34" i="25"/>
  <c r="C38" i="25"/>
  <c r="C46" i="25"/>
  <c r="I46" i="25" s="1"/>
  <c r="H30" i="25"/>
  <c r="C54" i="25"/>
  <c r="C42" i="25"/>
  <c r="C58" i="25"/>
  <c r="O47" i="25" l="1"/>
  <c r="I17" i="37" s="1"/>
  <c r="I17" i="38" s="1"/>
  <c r="H34" i="25"/>
  <c r="H32" i="25" s="1"/>
  <c r="N22" i="25" s="1"/>
  <c r="N23" i="25" s="1"/>
  <c r="N24" i="25" s="1"/>
  <c r="I34" i="25"/>
  <c r="H58" i="25"/>
  <c r="H56" i="25" s="1"/>
  <c r="I58" i="25"/>
  <c r="H54" i="25"/>
  <c r="H52" i="25" s="1"/>
  <c r="O22" i="25" s="1"/>
  <c r="O23" i="25" s="1"/>
  <c r="O24" i="25" s="1"/>
  <c r="I54" i="25"/>
  <c r="H42" i="25"/>
  <c r="H40" i="25" s="1"/>
  <c r="Q22" i="25" s="1"/>
  <c r="Q23" i="25" s="1"/>
  <c r="Q24" i="25" s="1"/>
  <c r="I42" i="25"/>
  <c r="H38" i="25"/>
  <c r="H36" i="25" s="1"/>
  <c r="R22" i="25" s="1"/>
  <c r="I38" i="25"/>
  <c r="H51" i="25"/>
  <c r="I51" i="25"/>
  <c r="E49" i="25"/>
  <c r="H49" i="25" s="1"/>
  <c r="H45" i="25"/>
  <c r="L48" i="25"/>
  <c r="H28" i="25"/>
  <c r="C50" i="25"/>
  <c r="H46" i="25"/>
  <c r="I18" i="38" l="1"/>
  <c r="I18" i="37"/>
  <c r="I19" i="37" s="1"/>
  <c r="P22" i="25"/>
  <c r="P23" i="25" s="1"/>
  <c r="P24" i="25" s="1"/>
  <c r="R19" i="25"/>
  <c r="R21" i="25" s="1"/>
  <c r="L50" i="25"/>
  <c r="N48" i="25"/>
  <c r="O48" i="25" s="1"/>
  <c r="H17" i="37" s="1"/>
  <c r="H10" i="18"/>
  <c r="P67" i="25" s="1"/>
  <c r="I10" i="18"/>
  <c r="Q67" i="25" s="1"/>
  <c r="F10" i="18"/>
  <c r="N67" i="25" s="1"/>
  <c r="G10" i="18"/>
  <c r="O67" i="25" s="1"/>
  <c r="E10" i="18"/>
  <c r="H44" i="25"/>
  <c r="M22" i="25" s="1"/>
  <c r="M23" i="25" s="1"/>
  <c r="M24" i="25" s="1"/>
  <c r="H50" i="25"/>
  <c r="H48" i="25" s="1"/>
  <c r="L22" i="25" s="1"/>
  <c r="L23" i="25" s="1"/>
  <c r="L24" i="25" s="1"/>
  <c r="I50" i="25"/>
  <c r="X6" i="24"/>
  <c r="AE6" i="24" s="1"/>
  <c r="V6" i="24"/>
  <c r="AC6" i="24" s="1"/>
  <c r="T6" i="24"/>
  <c r="R6" i="24"/>
  <c r="Y6" i="24" s="1"/>
  <c r="W6" i="24"/>
  <c r="AD6" i="24" s="1"/>
  <c r="U6" i="24"/>
  <c r="AB6" i="24" s="1"/>
  <c r="S6" i="24"/>
  <c r="Z6" i="24" s="1"/>
  <c r="AH12" i="24"/>
  <c r="H25" i="24"/>
  <c r="D20" i="24"/>
  <c r="D19" i="24"/>
  <c r="E21" i="24" s="1"/>
  <c r="H18" i="24"/>
  <c r="Q13" i="24"/>
  <c r="J13" i="24"/>
  <c r="J14" i="24" s="1"/>
  <c r="I12" i="24"/>
  <c r="I11" i="24"/>
  <c r="I10" i="24"/>
  <c r="I9" i="24"/>
  <c r="I8" i="24"/>
  <c r="I7" i="24"/>
  <c r="I6" i="24"/>
  <c r="Y5" i="24"/>
  <c r="R5" i="24"/>
  <c r="Z5" i="24" s="1"/>
  <c r="H17" i="38" l="1"/>
  <c r="H18" i="38" s="1"/>
  <c r="H22" i="38" s="1"/>
  <c r="R17" i="37"/>
  <c r="R17" i="38"/>
  <c r="R18" i="38" s="1"/>
  <c r="I22" i="38"/>
  <c r="S25" i="38"/>
  <c r="N50" i="25"/>
  <c r="R23" i="25"/>
  <c r="R24" i="25" s="1"/>
  <c r="D10" i="18"/>
  <c r="C10" i="18"/>
  <c r="S5" i="24"/>
  <c r="AA5" i="24" s="1"/>
  <c r="E20" i="24"/>
  <c r="T5" i="24"/>
  <c r="H13" i="24"/>
  <c r="O50" i="25" l="1"/>
  <c r="O56" i="25" s="1"/>
  <c r="B7" i="15"/>
  <c r="C7" i="15" s="1"/>
  <c r="N56" i="25"/>
  <c r="H18" i="37"/>
  <c r="R18" i="37" s="1"/>
  <c r="G12" i="17"/>
  <c r="AB5" i="24"/>
  <c r="U5" i="24"/>
  <c r="AD13" i="24"/>
  <c r="AE13" i="24"/>
  <c r="Z13" i="24"/>
  <c r="Y13" i="24"/>
  <c r="AC13" i="24"/>
  <c r="AB13" i="24"/>
  <c r="G25" i="17" l="1"/>
  <c r="M12" i="17"/>
  <c r="H19" i="37"/>
  <c r="AB14" i="24"/>
  <c r="Y14" i="24"/>
  <c r="AE14" i="24"/>
  <c r="AC14" i="24"/>
  <c r="Z14" i="24"/>
  <c r="AD14" i="24"/>
  <c r="V5" i="24"/>
  <c r="AD5" i="24" s="1"/>
  <c r="AC5" i="24"/>
  <c r="M25" i="17" l="1"/>
  <c r="G26" i="17"/>
  <c r="H25" i="13"/>
  <c r="D20" i="13"/>
  <c r="D19" i="13"/>
  <c r="E21" i="13" s="1"/>
  <c r="H18" i="13"/>
  <c r="J13" i="13"/>
  <c r="J14" i="13" s="1"/>
  <c r="I12" i="13"/>
  <c r="I11" i="13"/>
  <c r="I10" i="13"/>
  <c r="I9" i="13"/>
  <c r="I8" i="13"/>
  <c r="I7" i="13"/>
  <c r="I6" i="13"/>
  <c r="AH5" i="13"/>
  <c r="T5" i="13"/>
  <c r="AI5" i="13" s="1"/>
  <c r="H25" i="23"/>
  <c r="D20" i="23"/>
  <c r="D19" i="23"/>
  <c r="E21" i="23" s="1"/>
  <c r="H18" i="23"/>
  <c r="J13" i="23"/>
  <c r="J14" i="23" s="1"/>
  <c r="I12" i="23"/>
  <c r="I11" i="23"/>
  <c r="I10" i="23"/>
  <c r="I9" i="23"/>
  <c r="I8" i="23"/>
  <c r="I7" i="23"/>
  <c r="I6" i="23"/>
  <c r="Y5" i="23"/>
  <c r="Z5" i="23" s="1"/>
  <c r="AA5" i="23" s="1"/>
  <c r="AB5" i="23" s="1"/>
  <c r="AC5" i="23" s="1"/>
  <c r="AD5" i="23" s="1"/>
  <c r="AE5" i="23" s="1"/>
  <c r="AJ5" i="7" l="1"/>
  <c r="E20" i="23"/>
  <c r="U5" i="13"/>
  <c r="AJ5" i="13" s="1"/>
  <c r="E20" i="13"/>
  <c r="H13" i="13"/>
  <c r="H13" i="23"/>
  <c r="V5" i="13" l="1"/>
  <c r="W5" i="13" s="1"/>
  <c r="F9" i="17"/>
  <c r="F22" i="17" s="1"/>
  <c r="C11" i="37" s="1"/>
  <c r="G6" i="20"/>
  <c r="F6" i="20"/>
  <c r="AK5" i="13" l="1"/>
  <c r="F26" i="17"/>
  <c r="B30" i="22"/>
  <c r="B11" i="22"/>
  <c r="B27" i="22"/>
  <c r="B26" i="22"/>
  <c r="B23" i="22"/>
  <c r="B18" i="22"/>
  <c r="B14" i="22"/>
  <c r="B13" i="22"/>
  <c r="B16" i="22"/>
  <c r="B10" i="22"/>
  <c r="B8" i="22"/>
  <c r="H6" i="20"/>
  <c r="H7" i="20" s="1"/>
  <c r="H8" i="20" s="1"/>
  <c r="AL5" i="13"/>
  <c r="X5" i="13"/>
  <c r="AM5" i="13" s="1"/>
  <c r="D4" i="20"/>
  <c r="E11" i="18" s="1"/>
  <c r="C11" i="38" l="1"/>
  <c r="R11" i="38" s="1"/>
  <c r="R11" i="37"/>
  <c r="V52" i="7"/>
  <c r="S11" i="37" l="1"/>
  <c r="S13" i="37" s="1"/>
  <c r="T132" i="7"/>
  <c r="V132" i="7"/>
  <c r="X132" i="7"/>
  <c r="Z132" i="7"/>
  <c r="W132" i="7"/>
  <c r="U132" i="7"/>
  <c r="Y132" i="7"/>
  <c r="U110" i="7"/>
  <c r="W110" i="7"/>
  <c r="Y110" i="7"/>
  <c r="T110" i="7"/>
  <c r="V110" i="7"/>
  <c r="X110" i="7"/>
  <c r="Z110" i="7"/>
  <c r="T70" i="7"/>
  <c r="V70" i="7"/>
  <c r="X70" i="7"/>
  <c r="Z70" i="7"/>
  <c r="U70" i="7"/>
  <c r="W70" i="7"/>
  <c r="Y70" i="7"/>
  <c r="U146" i="7"/>
  <c r="W146" i="7"/>
  <c r="Y146" i="7"/>
  <c r="T146" i="7"/>
  <c r="V146" i="7"/>
  <c r="X146" i="7"/>
  <c r="Z146" i="7"/>
  <c r="T144" i="7"/>
  <c r="V144" i="7"/>
  <c r="X144" i="7"/>
  <c r="Z144" i="7"/>
  <c r="U144" i="7"/>
  <c r="W144" i="7"/>
  <c r="Y144" i="7"/>
  <c r="U142" i="7"/>
  <c r="W142" i="7"/>
  <c r="Y142" i="7"/>
  <c r="T142" i="7"/>
  <c r="V142" i="7"/>
  <c r="X142" i="7"/>
  <c r="Z142" i="7"/>
  <c r="U94" i="7"/>
  <c r="W94" i="7"/>
  <c r="Y94" i="7"/>
  <c r="T94" i="7"/>
  <c r="V94" i="7"/>
  <c r="X94" i="7"/>
  <c r="Z94" i="7"/>
  <c r="T92" i="7"/>
  <c r="V92" i="7"/>
  <c r="X92" i="7"/>
  <c r="Z92" i="7"/>
  <c r="U92" i="7"/>
  <c r="W92" i="7"/>
  <c r="Y92" i="7"/>
  <c r="U202" i="7"/>
  <c r="W202" i="7"/>
  <c r="Y202" i="7"/>
  <c r="T202" i="7"/>
  <c r="V202" i="7"/>
  <c r="X202" i="7"/>
  <c r="Z202" i="7"/>
  <c r="U196" i="7"/>
  <c r="W196" i="7"/>
  <c r="Y196" i="7"/>
  <c r="T196" i="7"/>
  <c r="V196" i="7"/>
  <c r="X196" i="7"/>
  <c r="Z196" i="7"/>
  <c r="T182" i="7"/>
  <c r="V182" i="7"/>
  <c r="X182" i="7"/>
  <c r="Z182" i="7"/>
  <c r="U182" i="7"/>
  <c r="W182" i="7"/>
  <c r="Y182" i="7"/>
  <c r="T180" i="7"/>
  <c r="V180" i="7"/>
  <c r="X180" i="7"/>
  <c r="Z180" i="7"/>
  <c r="U180" i="7"/>
  <c r="W180" i="7"/>
  <c r="Y180" i="7"/>
  <c r="U137" i="7"/>
  <c r="W137" i="7"/>
  <c r="Y137" i="7"/>
  <c r="T137" i="7"/>
  <c r="V137" i="7"/>
  <c r="X137" i="7"/>
  <c r="Z137" i="7"/>
  <c r="U135" i="7"/>
  <c r="W135" i="7"/>
  <c r="Y135" i="7"/>
  <c r="T135" i="7"/>
  <c r="V135" i="7"/>
  <c r="X135" i="7"/>
  <c r="Z135" i="7"/>
  <c r="U133" i="7"/>
  <c r="W133" i="7"/>
  <c r="Y133" i="7"/>
  <c r="T133" i="7"/>
  <c r="V133" i="7"/>
  <c r="X133" i="7"/>
  <c r="Z133" i="7"/>
  <c r="U131" i="7"/>
  <c r="W131" i="7"/>
  <c r="Y131" i="7"/>
  <c r="T131" i="7"/>
  <c r="V131" i="7"/>
  <c r="X131" i="7"/>
  <c r="Z131" i="7"/>
  <c r="U125" i="7"/>
  <c r="W125" i="7"/>
  <c r="Y125" i="7"/>
  <c r="T125" i="7"/>
  <c r="V125" i="7"/>
  <c r="X125" i="7"/>
  <c r="Z125" i="7"/>
  <c r="U123" i="7"/>
  <c r="W123" i="7"/>
  <c r="Y123" i="7"/>
  <c r="T123" i="7"/>
  <c r="V123" i="7"/>
  <c r="X123" i="7"/>
  <c r="Z123" i="7"/>
  <c r="U121" i="7"/>
  <c r="W121" i="7"/>
  <c r="Y121" i="7"/>
  <c r="T121" i="7"/>
  <c r="V121" i="7"/>
  <c r="X121" i="7"/>
  <c r="Z121" i="7"/>
  <c r="U119" i="7"/>
  <c r="W119" i="7"/>
  <c r="Y119" i="7"/>
  <c r="T119" i="7"/>
  <c r="X119" i="7"/>
  <c r="V119" i="7"/>
  <c r="Z119" i="7"/>
  <c r="U117" i="7"/>
  <c r="W117" i="7"/>
  <c r="Y117" i="7"/>
  <c r="T117" i="7"/>
  <c r="V117" i="7"/>
  <c r="X117" i="7"/>
  <c r="Z117" i="7"/>
  <c r="U115" i="7"/>
  <c r="W115" i="7"/>
  <c r="Y115" i="7"/>
  <c r="T115" i="7"/>
  <c r="V115" i="7"/>
  <c r="X115" i="7"/>
  <c r="Z115" i="7"/>
  <c r="U113" i="7"/>
  <c r="W113" i="7"/>
  <c r="Y113" i="7"/>
  <c r="T113" i="7"/>
  <c r="V113" i="7"/>
  <c r="X113" i="7"/>
  <c r="Z113" i="7"/>
  <c r="U111" i="7"/>
  <c r="W111" i="7"/>
  <c r="Y111" i="7"/>
  <c r="T111" i="7"/>
  <c r="V111" i="7"/>
  <c r="X111" i="7"/>
  <c r="Z111" i="7"/>
  <c r="U109" i="7"/>
  <c r="W109" i="7"/>
  <c r="Y109" i="7"/>
  <c r="T109" i="7"/>
  <c r="V109" i="7"/>
  <c r="X109" i="7"/>
  <c r="Z109" i="7"/>
  <c r="U107" i="7"/>
  <c r="W107" i="7"/>
  <c r="Y107" i="7"/>
  <c r="T107" i="7"/>
  <c r="V107" i="7"/>
  <c r="X107" i="7"/>
  <c r="Z107" i="7"/>
  <c r="U103" i="7"/>
  <c r="W103" i="7"/>
  <c r="Y103" i="7"/>
  <c r="T103" i="7"/>
  <c r="V103" i="7"/>
  <c r="X103" i="7"/>
  <c r="Z103" i="7"/>
  <c r="U101" i="7"/>
  <c r="W101" i="7"/>
  <c r="Y101" i="7"/>
  <c r="T101" i="7"/>
  <c r="V101" i="7"/>
  <c r="X101" i="7"/>
  <c r="Z101" i="7"/>
  <c r="U99" i="7"/>
  <c r="W99" i="7"/>
  <c r="Y99" i="7"/>
  <c r="T99" i="7"/>
  <c r="V99" i="7"/>
  <c r="X99" i="7"/>
  <c r="Z99" i="7"/>
  <c r="T96" i="7"/>
  <c r="V96" i="7"/>
  <c r="X96" i="7"/>
  <c r="Z96" i="7"/>
  <c r="U96" i="7"/>
  <c r="W96" i="7"/>
  <c r="Y96" i="7"/>
  <c r="T88" i="7"/>
  <c r="V88" i="7"/>
  <c r="X88" i="7"/>
  <c r="Z88" i="7"/>
  <c r="U88" i="7"/>
  <c r="W88" i="7"/>
  <c r="Y88" i="7"/>
  <c r="T84" i="7"/>
  <c r="V84" i="7"/>
  <c r="X84" i="7"/>
  <c r="Z84" i="7"/>
  <c r="U84" i="7"/>
  <c r="W84" i="7"/>
  <c r="Y84" i="7"/>
  <c r="T82" i="7"/>
  <c r="V82" i="7"/>
  <c r="X82" i="7"/>
  <c r="Z82" i="7"/>
  <c r="U82" i="7"/>
  <c r="W82" i="7"/>
  <c r="Y82" i="7"/>
  <c r="U77" i="7"/>
  <c r="W77" i="7"/>
  <c r="Y77" i="7"/>
  <c r="T77" i="7"/>
  <c r="V77" i="7"/>
  <c r="X77" i="7"/>
  <c r="Z77" i="7"/>
  <c r="T74" i="7"/>
  <c r="V74" i="7"/>
  <c r="X74" i="7"/>
  <c r="Z74" i="7"/>
  <c r="U74" i="7"/>
  <c r="W74" i="7"/>
  <c r="Y74" i="7"/>
  <c r="U69" i="7"/>
  <c r="W69" i="7"/>
  <c r="Y69" i="7"/>
  <c r="T69" i="7"/>
  <c r="V69" i="7"/>
  <c r="X69" i="7"/>
  <c r="Z69" i="7"/>
  <c r="U67" i="7"/>
  <c r="W67" i="7"/>
  <c r="Y67" i="7"/>
  <c r="T67" i="7"/>
  <c r="V67" i="7"/>
  <c r="X67" i="7"/>
  <c r="Z67" i="7"/>
  <c r="U64" i="7"/>
  <c r="W64" i="7"/>
  <c r="Y64" i="7"/>
  <c r="T64" i="7"/>
  <c r="X64" i="7"/>
  <c r="V64" i="7"/>
  <c r="Z64" i="7"/>
  <c r="T59" i="7"/>
  <c r="V59" i="7"/>
  <c r="X59" i="7"/>
  <c r="Z59" i="7"/>
  <c r="U59" i="7"/>
  <c r="W59" i="7"/>
  <c r="Y59" i="7"/>
  <c r="T57" i="7"/>
  <c r="V57" i="7"/>
  <c r="X57" i="7"/>
  <c r="Z57" i="7"/>
  <c r="U57" i="7"/>
  <c r="W57" i="7"/>
  <c r="Y57" i="7"/>
  <c r="T55" i="7"/>
  <c r="V55" i="7"/>
  <c r="X55" i="7"/>
  <c r="Z55" i="7"/>
  <c r="U55" i="7"/>
  <c r="W55" i="7"/>
  <c r="Y55" i="7"/>
  <c r="U50" i="7"/>
  <c r="W50" i="7"/>
  <c r="Y50" i="7"/>
  <c r="T50" i="7"/>
  <c r="V50" i="7"/>
  <c r="X50" i="7"/>
  <c r="Z50" i="7"/>
  <c r="U48" i="7"/>
  <c r="W48" i="7"/>
  <c r="Y48" i="7"/>
  <c r="T48" i="7"/>
  <c r="V48" i="7"/>
  <c r="X48" i="7"/>
  <c r="Z48" i="7"/>
  <c r="T41" i="7"/>
  <c r="V41" i="7"/>
  <c r="X41" i="7"/>
  <c r="Z41" i="7"/>
  <c r="U41" i="7"/>
  <c r="W41" i="7"/>
  <c r="Y41" i="7"/>
  <c r="T39" i="7"/>
  <c r="V39" i="7"/>
  <c r="X39" i="7"/>
  <c r="Z39" i="7"/>
  <c r="U39" i="7"/>
  <c r="W39" i="7"/>
  <c r="Y39" i="7"/>
  <c r="T35" i="7"/>
  <c r="V35" i="7"/>
  <c r="X35" i="7"/>
  <c r="Z35" i="7"/>
  <c r="U35" i="7"/>
  <c r="W35" i="7"/>
  <c r="Y35" i="7"/>
  <c r="T33" i="7"/>
  <c r="V33" i="7"/>
  <c r="X33" i="7"/>
  <c r="Z33" i="7"/>
  <c r="U33" i="7"/>
  <c r="W33" i="7"/>
  <c r="Y33" i="7"/>
  <c r="U29" i="7"/>
  <c r="W29" i="7"/>
  <c r="Y29" i="7"/>
  <c r="T29" i="7"/>
  <c r="V29" i="7"/>
  <c r="X29" i="7"/>
  <c r="Z29" i="7"/>
  <c r="U27" i="7"/>
  <c r="W27" i="7"/>
  <c r="Y27" i="7"/>
  <c r="T27" i="7"/>
  <c r="V27" i="7"/>
  <c r="X27" i="7"/>
  <c r="Z27" i="7"/>
  <c r="U25" i="7"/>
  <c r="W25" i="7"/>
  <c r="Y25" i="7"/>
  <c r="T25" i="7"/>
  <c r="V25" i="7"/>
  <c r="X25" i="7"/>
  <c r="Z25" i="7"/>
  <c r="T201" i="7"/>
  <c r="V201" i="7"/>
  <c r="X201" i="7"/>
  <c r="Z201" i="7"/>
  <c r="U201" i="7"/>
  <c r="W201" i="7"/>
  <c r="Y201" i="7"/>
  <c r="T197" i="7"/>
  <c r="V197" i="7"/>
  <c r="X197" i="7"/>
  <c r="Z197" i="7"/>
  <c r="U197" i="7"/>
  <c r="W197" i="7"/>
  <c r="Y197" i="7"/>
  <c r="T195" i="7"/>
  <c r="V195" i="7"/>
  <c r="X195" i="7"/>
  <c r="Z195" i="7"/>
  <c r="U195" i="7"/>
  <c r="W195" i="7"/>
  <c r="Y195" i="7"/>
  <c r="T193" i="7"/>
  <c r="V193" i="7"/>
  <c r="X193" i="7"/>
  <c r="Z193" i="7"/>
  <c r="U193" i="7"/>
  <c r="W193" i="7"/>
  <c r="Y193" i="7"/>
  <c r="T191" i="7"/>
  <c r="V191" i="7"/>
  <c r="X191" i="7"/>
  <c r="Z191" i="7"/>
  <c r="U191" i="7"/>
  <c r="W191" i="7"/>
  <c r="Y191" i="7"/>
  <c r="T189" i="7"/>
  <c r="V189" i="7"/>
  <c r="X189" i="7"/>
  <c r="Z189" i="7"/>
  <c r="U189" i="7"/>
  <c r="W189" i="7"/>
  <c r="Y189" i="7"/>
  <c r="T187" i="7"/>
  <c r="V187" i="7"/>
  <c r="X187" i="7"/>
  <c r="Z187" i="7"/>
  <c r="U187" i="7"/>
  <c r="W187" i="7"/>
  <c r="Y187" i="7"/>
  <c r="T185" i="7"/>
  <c r="V185" i="7"/>
  <c r="X185" i="7"/>
  <c r="Z185" i="7"/>
  <c r="U185" i="7"/>
  <c r="Y185" i="7"/>
  <c r="W185" i="7"/>
  <c r="T183" i="7"/>
  <c r="V183" i="7"/>
  <c r="X183" i="7"/>
  <c r="Z183" i="7"/>
  <c r="U183" i="7"/>
  <c r="Y183" i="7"/>
  <c r="W183" i="7"/>
  <c r="U181" i="7"/>
  <c r="W181" i="7"/>
  <c r="Y181" i="7"/>
  <c r="T181" i="7"/>
  <c r="V181" i="7"/>
  <c r="X181" i="7"/>
  <c r="Z181" i="7"/>
  <c r="U179" i="7"/>
  <c r="W179" i="7"/>
  <c r="Y179" i="7"/>
  <c r="T179" i="7"/>
  <c r="V179" i="7"/>
  <c r="X179" i="7"/>
  <c r="Z179" i="7"/>
  <c r="U175" i="7"/>
  <c r="W175" i="7"/>
  <c r="Y175" i="7"/>
  <c r="T175" i="7"/>
  <c r="V175" i="7"/>
  <c r="X175" i="7"/>
  <c r="Z175" i="7"/>
  <c r="U173" i="7"/>
  <c r="W173" i="7"/>
  <c r="Y173" i="7"/>
  <c r="T173" i="7"/>
  <c r="V173" i="7"/>
  <c r="X173" i="7"/>
  <c r="Z173" i="7"/>
  <c r="U167" i="7"/>
  <c r="W167" i="7"/>
  <c r="Y167" i="7"/>
  <c r="T167" i="7"/>
  <c r="V167" i="7"/>
  <c r="X167" i="7"/>
  <c r="Z167" i="7"/>
  <c r="U165" i="7"/>
  <c r="W165" i="7"/>
  <c r="Y165" i="7"/>
  <c r="T165" i="7"/>
  <c r="V165" i="7"/>
  <c r="X165" i="7"/>
  <c r="Z165" i="7"/>
  <c r="U163" i="7"/>
  <c r="W163" i="7"/>
  <c r="Y163" i="7"/>
  <c r="T163" i="7"/>
  <c r="V163" i="7"/>
  <c r="X163" i="7"/>
  <c r="Z163" i="7"/>
  <c r="U161" i="7"/>
  <c r="W161" i="7"/>
  <c r="Y161" i="7"/>
  <c r="T161" i="7"/>
  <c r="V161" i="7"/>
  <c r="X161" i="7"/>
  <c r="Z161" i="7"/>
  <c r="U159" i="7"/>
  <c r="W159" i="7"/>
  <c r="Y159" i="7"/>
  <c r="T159" i="7"/>
  <c r="V159" i="7"/>
  <c r="X159" i="7"/>
  <c r="Z159" i="7"/>
  <c r="U157" i="7"/>
  <c r="W157" i="7"/>
  <c r="Y157" i="7"/>
  <c r="T157" i="7"/>
  <c r="V157" i="7"/>
  <c r="X157" i="7"/>
  <c r="Z157" i="7"/>
  <c r="U155" i="7"/>
  <c r="W155" i="7"/>
  <c r="Y155" i="7"/>
  <c r="T155" i="7"/>
  <c r="V155" i="7"/>
  <c r="X155" i="7"/>
  <c r="Z155" i="7"/>
  <c r="U151" i="7"/>
  <c r="W151" i="7"/>
  <c r="Y151" i="7"/>
  <c r="T151" i="7"/>
  <c r="V151" i="7"/>
  <c r="X151" i="7"/>
  <c r="Z151" i="7"/>
  <c r="U149" i="7"/>
  <c r="W149" i="7"/>
  <c r="Y149" i="7"/>
  <c r="T149" i="7"/>
  <c r="V149" i="7"/>
  <c r="X149" i="7"/>
  <c r="Z149" i="7"/>
  <c r="U147" i="7"/>
  <c r="W147" i="7"/>
  <c r="Y147" i="7"/>
  <c r="T147" i="7"/>
  <c r="V147" i="7"/>
  <c r="X147" i="7"/>
  <c r="Z147" i="7"/>
  <c r="U145" i="7"/>
  <c r="W145" i="7"/>
  <c r="Y145" i="7"/>
  <c r="T145" i="7"/>
  <c r="V145" i="7"/>
  <c r="X145" i="7"/>
  <c r="Z145" i="7"/>
  <c r="U143" i="7"/>
  <c r="W143" i="7"/>
  <c r="Y143" i="7"/>
  <c r="T143" i="7"/>
  <c r="V143" i="7"/>
  <c r="X143" i="7"/>
  <c r="Z143" i="7"/>
  <c r="U141" i="7"/>
  <c r="W141" i="7"/>
  <c r="Y141" i="7"/>
  <c r="T141" i="7"/>
  <c r="V141" i="7"/>
  <c r="X141" i="7"/>
  <c r="Z141" i="7"/>
  <c r="T114" i="7"/>
  <c r="V114" i="7"/>
  <c r="X114" i="7"/>
  <c r="Z114" i="7"/>
  <c r="U114" i="7"/>
  <c r="W114" i="7"/>
  <c r="Y114" i="7"/>
  <c r="T112" i="7"/>
  <c r="V112" i="7"/>
  <c r="X112" i="7"/>
  <c r="Z112" i="7"/>
  <c r="U112" i="7"/>
  <c r="W112" i="7"/>
  <c r="Y112" i="7"/>
  <c r="U95" i="7"/>
  <c r="W95" i="7"/>
  <c r="Y95" i="7"/>
  <c r="T95" i="7"/>
  <c r="V95" i="7"/>
  <c r="X95" i="7"/>
  <c r="Z95" i="7"/>
  <c r="U93" i="7"/>
  <c r="W93" i="7"/>
  <c r="Y93" i="7"/>
  <c r="T93" i="7"/>
  <c r="V93" i="7"/>
  <c r="X93" i="7"/>
  <c r="Z93" i="7"/>
  <c r="U91" i="7"/>
  <c r="W91" i="7"/>
  <c r="Y91" i="7"/>
  <c r="T91" i="7"/>
  <c r="V91" i="7"/>
  <c r="X91" i="7"/>
  <c r="Z91" i="7"/>
  <c r="U89" i="7"/>
  <c r="W89" i="7"/>
  <c r="Y89" i="7"/>
  <c r="T89" i="7"/>
  <c r="V89" i="7"/>
  <c r="X89" i="7"/>
  <c r="Z89" i="7"/>
  <c r="U87" i="7"/>
  <c r="W87" i="7"/>
  <c r="Y87" i="7"/>
  <c r="T87" i="7"/>
  <c r="V87" i="7"/>
  <c r="X87" i="7"/>
  <c r="Z87" i="7"/>
  <c r="U85" i="7"/>
  <c r="W85" i="7"/>
  <c r="Y85" i="7"/>
  <c r="T85" i="7"/>
  <c r="V85" i="7"/>
  <c r="X85" i="7"/>
  <c r="Z85" i="7"/>
  <c r="U83" i="7"/>
  <c r="W83" i="7"/>
  <c r="Y83" i="7"/>
  <c r="T83" i="7"/>
  <c r="V83" i="7"/>
  <c r="X83" i="7"/>
  <c r="Z83" i="7"/>
  <c r="U81" i="7"/>
  <c r="W81" i="7"/>
  <c r="Y81" i="7"/>
  <c r="T81" i="7"/>
  <c r="V81" i="7"/>
  <c r="X81" i="7"/>
  <c r="Z81" i="7"/>
  <c r="T78" i="7"/>
  <c r="V78" i="7"/>
  <c r="X78" i="7"/>
  <c r="Z78" i="7"/>
  <c r="U78" i="7"/>
  <c r="W78" i="7"/>
  <c r="Y78" i="7"/>
  <c r="T68" i="7"/>
  <c r="V68" i="7"/>
  <c r="X68" i="7"/>
  <c r="Z68" i="7"/>
  <c r="U68" i="7"/>
  <c r="W68" i="7"/>
  <c r="Y68" i="7"/>
  <c r="U60" i="7"/>
  <c r="T60" i="7"/>
  <c r="V60" i="7"/>
  <c r="X60" i="7"/>
  <c r="Z60" i="7"/>
  <c r="W60" i="7"/>
  <c r="Y60" i="7"/>
  <c r="U54" i="7"/>
  <c r="W54" i="7"/>
  <c r="Y54" i="7"/>
  <c r="T54" i="7"/>
  <c r="V54" i="7"/>
  <c r="X54" i="7"/>
  <c r="Z54" i="7"/>
  <c r="T47" i="7"/>
  <c r="V47" i="7"/>
  <c r="X47" i="7"/>
  <c r="Z47" i="7"/>
  <c r="U47" i="7"/>
  <c r="W47" i="7"/>
  <c r="Y47" i="7"/>
  <c r="T26" i="7"/>
  <c r="V26" i="7"/>
  <c r="AO26" i="7" s="1"/>
  <c r="X26" i="7"/>
  <c r="Z26" i="7"/>
  <c r="U26" i="7"/>
  <c r="W26" i="7"/>
  <c r="Y26" i="7"/>
  <c r="Z6" i="7"/>
  <c r="X6" i="7"/>
  <c r="W6" i="7"/>
  <c r="Y6" i="7"/>
  <c r="U6" i="7"/>
  <c r="T6" i="7"/>
  <c r="V6" i="7"/>
  <c r="T23" i="7"/>
  <c r="V23" i="7"/>
  <c r="X23" i="7"/>
  <c r="Z23" i="7"/>
  <c r="U23" i="7"/>
  <c r="Y23" i="7"/>
  <c r="W23" i="7"/>
  <c r="T17" i="7"/>
  <c r="V17" i="7"/>
  <c r="X17" i="7"/>
  <c r="Z17" i="7"/>
  <c r="U17" i="7"/>
  <c r="Y17" i="7"/>
  <c r="W17" i="7"/>
  <c r="T15" i="7"/>
  <c r="V15" i="7"/>
  <c r="X15" i="7"/>
  <c r="Z15" i="7"/>
  <c r="U15" i="7"/>
  <c r="Y15" i="7"/>
  <c r="W15" i="7"/>
  <c r="T11" i="7"/>
  <c r="V11" i="7"/>
  <c r="X11" i="7"/>
  <c r="Z11" i="7"/>
  <c r="U11" i="7"/>
  <c r="W11" i="7"/>
  <c r="Y11" i="7"/>
  <c r="T9" i="7"/>
  <c r="V9" i="7"/>
  <c r="X9" i="7"/>
  <c r="Z9" i="7"/>
  <c r="U9" i="7"/>
  <c r="W9" i="7"/>
  <c r="Y9" i="7"/>
  <c r="Y7" i="7"/>
  <c r="W7" i="7"/>
  <c r="Z7" i="7"/>
  <c r="X7" i="7"/>
  <c r="U7" i="7"/>
  <c r="V7" i="7"/>
  <c r="T7" i="7"/>
  <c r="G13" i="17" l="1"/>
  <c r="F13" i="17" l="1"/>
  <c r="D19" i="10" l="1"/>
  <c r="E21" i="10" s="1"/>
  <c r="H18" i="10"/>
  <c r="D20" i="10"/>
  <c r="E20" i="10" s="1"/>
  <c r="I12" i="10"/>
  <c r="I11" i="10"/>
  <c r="I10" i="10"/>
  <c r="I9" i="10"/>
  <c r="I8" i="10"/>
  <c r="I7" i="10"/>
  <c r="I6" i="10"/>
  <c r="Y5" i="10"/>
  <c r="Z5" i="10" s="1"/>
  <c r="AA5" i="10" s="1"/>
  <c r="AB5" i="10" s="1"/>
  <c r="AC5" i="10" s="1"/>
  <c r="AD5" i="10" s="1"/>
  <c r="AE5" i="10" s="1"/>
  <c r="J13" i="10" l="1"/>
  <c r="H25" i="10" l="1"/>
  <c r="J14" i="10"/>
  <c r="H13" i="10" s="1"/>
  <c r="AO122" i="7" l="1"/>
  <c r="AO14" i="7"/>
  <c r="AO32" i="7"/>
  <c r="AO42" i="7"/>
  <c r="AO36" i="7"/>
  <c r="AO172" i="7"/>
  <c r="AO120" i="7"/>
  <c r="AO12" i="7"/>
  <c r="AO128" i="7"/>
  <c r="AO104" i="7"/>
  <c r="AO188" i="7"/>
  <c r="AO176" i="7"/>
  <c r="AO124" i="7"/>
  <c r="AO186" i="7"/>
  <c r="AO174" i="7"/>
  <c r="AO136" i="7"/>
  <c r="AO130" i="7"/>
  <c r="AO34" i="7"/>
  <c r="AO40" i="7"/>
  <c r="AO184" i="7"/>
  <c r="AO30" i="7"/>
  <c r="AO162" i="7"/>
  <c r="AO148" i="7"/>
  <c r="AO134" i="7"/>
  <c r="AO116" i="7"/>
  <c r="AO194" i="7"/>
  <c r="AO178" i="7"/>
  <c r="AO170" i="7"/>
  <c r="AO160" i="7"/>
  <c r="AO126" i="7"/>
  <c r="AO118" i="7"/>
  <c r="AO90" i="7"/>
  <c r="AO164" i="7"/>
  <c r="AO100" i="7"/>
  <c r="AO8" i="7"/>
  <c r="AO102" i="7"/>
  <c r="AJ13" i="13"/>
  <c r="AO63" i="7"/>
  <c r="AO62" i="7"/>
  <c r="AO204" i="7"/>
  <c r="AO56" i="7"/>
  <c r="AA12" i="24"/>
  <c r="AA11" i="24"/>
  <c r="AA12" i="23"/>
  <c r="AA12" i="10"/>
  <c r="AA8" i="24"/>
  <c r="AA9" i="24"/>
  <c r="AA7" i="24"/>
  <c r="AA10" i="24"/>
  <c r="AA6" i="24"/>
  <c r="AA13" i="24" l="1"/>
  <c r="AH202" i="7"/>
  <c r="AH200" i="7"/>
  <c r="AH198" i="7"/>
  <c r="AH196" i="7"/>
  <c r="AH192" i="7"/>
  <c r="AH190" i="7"/>
  <c r="AH182" i="7"/>
  <c r="AH180" i="7"/>
  <c r="AH168" i="7"/>
  <c r="AH166" i="7"/>
  <c r="AH158" i="7"/>
  <c r="AH152" i="7"/>
  <c r="AH146" i="7"/>
  <c r="AH144" i="7"/>
  <c r="AH142" i="7"/>
  <c r="AH132" i="7"/>
  <c r="AH114" i="7"/>
  <c r="AH112" i="7"/>
  <c r="AH110" i="7"/>
  <c r="AH108" i="7"/>
  <c r="AH96" i="7"/>
  <c r="AH94" i="7"/>
  <c r="AH92" i="7"/>
  <c r="AH88" i="7"/>
  <c r="AH86" i="7"/>
  <c r="AH84" i="7"/>
  <c r="AH82" i="7"/>
  <c r="AH80" i="7"/>
  <c r="AH78" i="7"/>
  <c r="AH76" i="7"/>
  <c r="AH74" i="7"/>
  <c r="AH72" i="7"/>
  <c r="AH70" i="7"/>
  <c r="AH68" i="7"/>
  <c r="AH66" i="7"/>
  <c r="AH60" i="7"/>
  <c r="AH58" i="7"/>
  <c r="AH54" i="7"/>
  <c r="AH52" i="7"/>
  <c r="AH50" i="7"/>
  <c r="AH48" i="7"/>
  <c r="AH46" i="7"/>
  <c r="AH44" i="7"/>
  <c r="AH26" i="7"/>
  <c r="AH20" i="7"/>
  <c r="AH16" i="7"/>
  <c r="AH10" i="7"/>
  <c r="AH6" i="7" l="1"/>
  <c r="Z5" i="7"/>
  <c r="X5" i="7"/>
  <c r="Y5" i="7"/>
  <c r="W5" i="7"/>
  <c r="U5" i="7"/>
  <c r="V5" i="7"/>
  <c r="T5" i="7"/>
  <c r="AA14" i="24"/>
  <c r="AO112" i="7"/>
  <c r="AO48" i="7"/>
  <c r="AO74" i="7"/>
  <c r="AO98" i="7"/>
  <c r="AO182" i="7"/>
  <c r="AR16" i="7"/>
  <c r="AS52" i="7"/>
  <c r="AS60" i="7"/>
  <c r="AS70" i="7"/>
  <c r="AS88" i="7"/>
  <c r="AS6" i="7"/>
  <c r="AS10" i="7"/>
  <c r="AR20" i="7"/>
  <c r="AO58" i="7"/>
  <c r="AS66" i="7"/>
  <c r="AS72" i="7"/>
  <c r="AS80" i="7"/>
  <c r="AS82" i="7"/>
  <c r="AS86" i="7"/>
  <c r="AR94" i="7"/>
  <c r="AM108" i="7"/>
  <c r="AO108" i="7"/>
  <c r="AQ108" i="7"/>
  <c r="AS108" i="7"/>
  <c r="AR110" i="7"/>
  <c r="AR121" i="7"/>
  <c r="AS132" i="7"/>
  <c r="AO140" i="7"/>
  <c r="AO142" i="7"/>
  <c r="AO144" i="7"/>
  <c r="AR146" i="7"/>
  <c r="AO150" i="7"/>
  <c r="AR152" i="7"/>
  <c r="AR154" i="7"/>
  <c r="AR156" i="7"/>
  <c r="AR168" i="7"/>
  <c r="AR190" i="7"/>
  <c r="AR196" i="7"/>
  <c r="AR200" i="7"/>
  <c r="AR202" i="7"/>
  <c r="AR44" i="7"/>
  <c r="AR46" i="7"/>
  <c r="AS54" i="7"/>
  <c r="AS68" i="7"/>
  <c r="AS76" i="7"/>
  <c r="AS78" i="7"/>
  <c r="AS84" i="7"/>
  <c r="AS92" i="7"/>
  <c r="AR96" i="7"/>
  <c r="AR106" i="7"/>
  <c r="AS114" i="7"/>
  <c r="AS138" i="7"/>
  <c r="AR158" i="7"/>
  <c r="AR166" i="7"/>
  <c r="AR180" i="7"/>
  <c r="AQ192" i="7"/>
  <c r="AR198" i="7"/>
  <c r="AM44" i="7"/>
  <c r="AM121" i="7"/>
  <c r="AM150" i="7"/>
  <c r="AQ150" i="7"/>
  <c r="AS150" i="7"/>
  <c r="AN48" i="7"/>
  <c r="AP48" i="7"/>
  <c r="AR48" i="7"/>
  <c r="AN58" i="7"/>
  <c r="AP58" i="7"/>
  <c r="AR58" i="7"/>
  <c r="AN74" i="7"/>
  <c r="AP74" i="7"/>
  <c r="AR74" i="7"/>
  <c r="AN98" i="7"/>
  <c r="AP98" i="7"/>
  <c r="AR98" i="7"/>
  <c r="AS98" i="7"/>
  <c r="AM112" i="7"/>
  <c r="AQ112" i="7"/>
  <c r="AS112" i="7"/>
  <c r="AN140" i="7"/>
  <c r="AP140" i="7"/>
  <c r="AR140" i="7"/>
  <c r="AS140" i="7"/>
  <c r="AM142" i="7"/>
  <c r="AQ142" i="7"/>
  <c r="AS142" i="7"/>
  <c r="AR197" i="7"/>
  <c r="AM58" i="7"/>
  <c r="AQ58" i="7"/>
  <c r="AS58" i="7"/>
  <c r="AM106" i="7"/>
  <c r="AN144" i="7"/>
  <c r="AP144" i="7"/>
  <c r="AR144" i="7"/>
  <c r="AS144" i="7"/>
  <c r="AM146" i="7"/>
  <c r="AM182" i="7"/>
  <c r="AQ182" i="7"/>
  <c r="AS182" i="7"/>
  <c r="AS29" i="7"/>
  <c r="AR29" i="7"/>
  <c r="AM29" i="7"/>
  <c r="AQ44" i="7"/>
  <c r="AM74" i="7"/>
  <c r="AQ74" i="7"/>
  <c r="AS74" i="7"/>
  <c r="AM98" i="7"/>
  <c r="AQ98" i="7"/>
  <c r="AQ106" i="7"/>
  <c r="AQ121" i="7"/>
  <c r="AM140" i="7"/>
  <c r="AQ140" i="7"/>
  <c r="AM144" i="7"/>
  <c r="AQ144" i="7"/>
  <c r="AQ146" i="7"/>
  <c r="AR192" i="7"/>
  <c r="AM192" i="7"/>
  <c r="AQ197" i="7"/>
  <c r="AO202" i="7"/>
  <c r="AS202" i="7"/>
  <c r="AM202" i="7"/>
  <c r="AQ202" i="7"/>
  <c r="AN202" i="7"/>
  <c r="AP202" i="7"/>
  <c r="AO200" i="7"/>
  <c r="AS200" i="7"/>
  <c r="AM200" i="7"/>
  <c r="AQ200" i="7"/>
  <c r="AN200" i="7"/>
  <c r="AP200" i="7"/>
  <c r="AO198" i="7"/>
  <c r="AS198" i="7"/>
  <c r="AM198" i="7"/>
  <c r="AQ198" i="7"/>
  <c r="AS197" i="7"/>
  <c r="AN198" i="7"/>
  <c r="AP198" i="7"/>
  <c r="AN197" i="7"/>
  <c r="AP197" i="7"/>
  <c r="AO196" i="7"/>
  <c r="AS196" i="7"/>
  <c r="AM196" i="7"/>
  <c r="AQ196" i="7"/>
  <c r="AN196" i="7"/>
  <c r="AP196" i="7"/>
  <c r="AO192" i="7"/>
  <c r="AS192" i="7"/>
  <c r="AN192" i="7"/>
  <c r="AP192" i="7"/>
  <c r="AM190" i="7"/>
  <c r="AO190" i="7"/>
  <c r="AQ190" i="7"/>
  <c r="AS190" i="7"/>
  <c r="AN190" i="7"/>
  <c r="AP190" i="7"/>
  <c r="AO180" i="7"/>
  <c r="AS180" i="7"/>
  <c r="AM180" i="7"/>
  <c r="AQ180" i="7"/>
  <c r="AN180" i="7"/>
  <c r="AP180" i="7"/>
  <c r="AO168" i="7"/>
  <c r="AS168" i="7"/>
  <c r="AM168" i="7"/>
  <c r="AQ168" i="7"/>
  <c r="AN168" i="7"/>
  <c r="AP168" i="7"/>
  <c r="AO166" i="7"/>
  <c r="AS166" i="7"/>
  <c r="AM166" i="7"/>
  <c r="AQ166" i="7"/>
  <c r="AN166" i="7"/>
  <c r="AP166" i="7"/>
  <c r="AO158" i="7"/>
  <c r="AS158" i="7"/>
  <c r="AM158" i="7"/>
  <c r="AQ158" i="7"/>
  <c r="AN158" i="7"/>
  <c r="AP158" i="7"/>
  <c r="AO156" i="7"/>
  <c r="AS156" i="7"/>
  <c r="AM156" i="7"/>
  <c r="AQ156" i="7"/>
  <c r="AN156" i="7"/>
  <c r="AP156" i="7"/>
  <c r="AO154" i="7"/>
  <c r="AS154" i="7"/>
  <c r="AM154" i="7"/>
  <c r="AQ154" i="7"/>
  <c r="AN154" i="7"/>
  <c r="AP154" i="7"/>
  <c r="AO152" i="7"/>
  <c r="AS152" i="7"/>
  <c r="AM152" i="7"/>
  <c r="AQ152" i="7"/>
  <c r="AN152" i="7"/>
  <c r="AP152" i="7"/>
  <c r="AO146" i="7"/>
  <c r="AS146" i="7"/>
  <c r="AN146" i="7"/>
  <c r="AP146" i="7"/>
  <c r="AN138" i="7"/>
  <c r="AP138" i="7"/>
  <c r="AR138" i="7"/>
  <c r="AM138" i="7"/>
  <c r="AO138" i="7"/>
  <c r="AQ138" i="7"/>
  <c r="AN132" i="7"/>
  <c r="AP132" i="7"/>
  <c r="AR132" i="7"/>
  <c r="AM132" i="7"/>
  <c r="AO132" i="7"/>
  <c r="AQ132" i="7"/>
  <c r="AS121" i="7"/>
  <c r="AN121" i="7"/>
  <c r="AP121" i="7"/>
  <c r="AN114" i="7"/>
  <c r="AP114" i="7"/>
  <c r="AR114" i="7"/>
  <c r="AM114" i="7"/>
  <c r="AO114" i="7"/>
  <c r="AQ114" i="7"/>
  <c r="AM110" i="7"/>
  <c r="AO110" i="7"/>
  <c r="AQ110" i="7"/>
  <c r="AS110" i="7"/>
  <c r="AN110" i="7"/>
  <c r="AP110" i="7"/>
  <c r="AO106" i="7"/>
  <c r="AS106" i="7"/>
  <c r="AN106" i="7"/>
  <c r="AP106" i="7"/>
  <c r="AO96" i="7"/>
  <c r="AS96" i="7"/>
  <c r="AM96" i="7"/>
  <c r="AQ96" i="7"/>
  <c r="AN96" i="7"/>
  <c r="AP96" i="7"/>
  <c r="AO94" i="7"/>
  <c r="AS94" i="7"/>
  <c r="AM94" i="7"/>
  <c r="AQ94" i="7"/>
  <c r="AN94" i="7"/>
  <c r="AP94" i="7"/>
  <c r="AN92" i="7"/>
  <c r="AP92" i="7"/>
  <c r="AR92" i="7"/>
  <c r="AM92" i="7"/>
  <c r="AO92" i="7"/>
  <c r="AQ92" i="7"/>
  <c r="AN88" i="7"/>
  <c r="AP88" i="7"/>
  <c r="AR88" i="7"/>
  <c r="AM88" i="7"/>
  <c r="AO88" i="7"/>
  <c r="AQ88" i="7"/>
  <c r="AN86" i="7"/>
  <c r="AP86" i="7"/>
  <c r="AR86" i="7"/>
  <c r="AM86" i="7"/>
  <c r="AO86" i="7"/>
  <c r="AQ86" i="7"/>
  <c r="AN84" i="7"/>
  <c r="AP84" i="7"/>
  <c r="AR84" i="7"/>
  <c r="AM84" i="7"/>
  <c r="AO84" i="7"/>
  <c r="AQ84" i="7"/>
  <c r="AN82" i="7"/>
  <c r="AP82" i="7"/>
  <c r="AR82" i="7"/>
  <c r="AM82" i="7"/>
  <c r="AO82" i="7"/>
  <c r="AQ82" i="7"/>
  <c r="AN80" i="7"/>
  <c r="AP80" i="7"/>
  <c r="AR80" i="7"/>
  <c r="AM80" i="7"/>
  <c r="AO80" i="7"/>
  <c r="AQ80" i="7"/>
  <c r="AN78" i="7"/>
  <c r="AP78" i="7"/>
  <c r="AR78" i="7"/>
  <c r="AM78" i="7"/>
  <c r="AO78" i="7"/>
  <c r="AQ78" i="7"/>
  <c r="AN76" i="7"/>
  <c r="AP76" i="7"/>
  <c r="AR76" i="7"/>
  <c r="AM76" i="7"/>
  <c r="AO76" i="7"/>
  <c r="AQ76" i="7"/>
  <c r="AN72" i="7"/>
  <c r="AP72" i="7"/>
  <c r="AR72" i="7"/>
  <c r="AM72" i="7"/>
  <c r="AO72" i="7"/>
  <c r="AQ72" i="7"/>
  <c r="AN70" i="7"/>
  <c r="AP70" i="7"/>
  <c r="AR70" i="7"/>
  <c r="AM70" i="7"/>
  <c r="AO70" i="7"/>
  <c r="AQ70" i="7"/>
  <c r="AN68" i="7"/>
  <c r="AP68" i="7"/>
  <c r="AR68" i="7"/>
  <c r="AM68" i="7"/>
  <c r="AO68" i="7"/>
  <c r="AQ68" i="7"/>
  <c r="AN66" i="7"/>
  <c r="AP66" i="7"/>
  <c r="AR66" i="7"/>
  <c r="AM66" i="7"/>
  <c r="AO66" i="7"/>
  <c r="AQ66" i="7"/>
  <c r="AN60" i="7"/>
  <c r="AP60" i="7"/>
  <c r="AR60" i="7"/>
  <c r="AM60" i="7"/>
  <c r="AO60" i="7"/>
  <c r="AQ60" i="7"/>
  <c r="AN54" i="7"/>
  <c r="AP54" i="7"/>
  <c r="AR54" i="7"/>
  <c r="AM54" i="7"/>
  <c r="AO54" i="7"/>
  <c r="AQ54" i="7"/>
  <c r="AN52" i="7"/>
  <c r="AP52" i="7"/>
  <c r="AR52" i="7"/>
  <c r="AM52" i="7"/>
  <c r="AO52" i="7"/>
  <c r="AQ52" i="7"/>
  <c r="AN47" i="7"/>
  <c r="AP47" i="7"/>
  <c r="AR47" i="7"/>
  <c r="AS47" i="7"/>
  <c r="AM47" i="7"/>
  <c r="AQ47" i="7"/>
  <c r="AO46" i="7"/>
  <c r="AS46" i="7"/>
  <c r="AM46" i="7"/>
  <c r="AQ46" i="7"/>
  <c r="AN46" i="7"/>
  <c r="AP46" i="7"/>
  <c r="AO44" i="7"/>
  <c r="AS44" i="7"/>
  <c r="AN44" i="7"/>
  <c r="AP44" i="7"/>
  <c r="AN29" i="7"/>
  <c r="AP29" i="7"/>
  <c r="AS20" i="7"/>
  <c r="AM20" i="7"/>
  <c r="AQ20" i="7"/>
  <c r="AN20" i="7"/>
  <c r="AP20" i="7"/>
  <c r="AS16" i="7"/>
  <c r="AM16" i="7"/>
  <c r="AQ16" i="7"/>
  <c r="AN16" i="7"/>
  <c r="AP16" i="7"/>
  <c r="AN10" i="7"/>
  <c r="AP10" i="7"/>
  <c r="AR10" i="7"/>
  <c r="AM10" i="7"/>
  <c r="AO10" i="7"/>
  <c r="AQ10" i="7"/>
  <c r="AN6" i="7"/>
  <c r="AP6" i="7"/>
  <c r="AR6" i="7"/>
  <c r="AM6" i="7"/>
  <c r="AO6" i="7"/>
  <c r="AQ6" i="7"/>
  <c r="AN108" i="7"/>
  <c r="AP108" i="7"/>
  <c r="AR108" i="7"/>
  <c r="AN112" i="7"/>
  <c r="AP112" i="7"/>
  <c r="AR112" i="7"/>
  <c r="AN142" i="7"/>
  <c r="AP142" i="7"/>
  <c r="AR142" i="7"/>
  <c r="AN150" i="7"/>
  <c r="AP150" i="7"/>
  <c r="AR150" i="7"/>
  <c r="AN182" i="7"/>
  <c r="AP182" i="7"/>
  <c r="AR182" i="7"/>
  <c r="AM197" i="7"/>
  <c r="AM48" i="7"/>
  <c r="AQ48" i="7"/>
  <c r="AS48" i="7"/>
  <c r="AN26" i="7"/>
  <c r="AP26" i="7"/>
  <c r="AR26" i="7"/>
  <c r="AM26" i="7"/>
  <c r="AQ26" i="7"/>
  <c r="AS26" i="7"/>
  <c r="AQ29" i="7" l="1"/>
  <c r="L10" i="8" l="1"/>
  <c r="L12" i="8" s="1"/>
  <c r="L13" i="8" s="1"/>
  <c r="L14" i="8" s="1"/>
  <c r="L15" i="8" s="1"/>
  <c r="P10" i="8"/>
  <c r="P11" i="8"/>
  <c r="P9" i="8"/>
  <c r="Q6" i="7" l="1"/>
  <c r="Q8" i="7"/>
  <c r="O8" i="7" s="1"/>
  <c r="Q10" i="7"/>
  <c r="Q12" i="7"/>
  <c r="O12" i="7" s="1"/>
  <c r="Q14" i="7"/>
  <c r="Q16" i="7"/>
  <c r="O16" i="7" s="1"/>
  <c r="Q18" i="7"/>
  <c r="Q20" i="7"/>
  <c r="O20" i="7" s="1"/>
  <c r="Q22" i="7"/>
  <c r="Q24" i="7"/>
  <c r="O24" i="7" s="1"/>
  <c r="Q26" i="7"/>
  <c r="Q28" i="7"/>
  <c r="O28" i="7" s="1"/>
  <c r="Q30" i="7"/>
  <c r="Q32" i="7"/>
  <c r="O32" i="7" s="1"/>
  <c r="Q34" i="7"/>
  <c r="Q36" i="7"/>
  <c r="O36" i="7" s="1"/>
  <c r="Q38" i="7"/>
  <c r="O38" i="7" s="1"/>
  <c r="Q39" i="7"/>
  <c r="Q41" i="7"/>
  <c r="Q43" i="7"/>
  <c r="BQ43" i="7" s="1"/>
  <c r="Q45" i="7"/>
  <c r="Q47" i="7"/>
  <c r="BQ47" i="7" s="1"/>
  <c r="Q49" i="7"/>
  <c r="Q51" i="7"/>
  <c r="Q53" i="7"/>
  <c r="Q55" i="7"/>
  <c r="Q57" i="7"/>
  <c r="Q59" i="7"/>
  <c r="Q61" i="7"/>
  <c r="Q63" i="7"/>
  <c r="Q65" i="7"/>
  <c r="Q67" i="7"/>
  <c r="Q69" i="7"/>
  <c r="Q71" i="7"/>
  <c r="Q73" i="7"/>
  <c r="Q75" i="7"/>
  <c r="Q77" i="7"/>
  <c r="Q79" i="7"/>
  <c r="Q81" i="7"/>
  <c r="Q83" i="7"/>
  <c r="Q85" i="7"/>
  <c r="Q87" i="7"/>
  <c r="Q89" i="7"/>
  <c r="Q91" i="7"/>
  <c r="Q93" i="7"/>
  <c r="Q95" i="7"/>
  <c r="Q97" i="7"/>
  <c r="Q99" i="7"/>
  <c r="Q101" i="7"/>
  <c r="Q103" i="7"/>
  <c r="Q105" i="7"/>
  <c r="Q107" i="7"/>
  <c r="Q109" i="7"/>
  <c r="Q111" i="7"/>
  <c r="Q113" i="7"/>
  <c r="Q115" i="7"/>
  <c r="Q117" i="7"/>
  <c r="Q119" i="7"/>
  <c r="Q121" i="7"/>
  <c r="Q123" i="7"/>
  <c r="Q125" i="7"/>
  <c r="Q127" i="7"/>
  <c r="Q129" i="7"/>
  <c r="Q131" i="7"/>
  <c r="Q133" i="7"/>
  <c r="Q135" i="7"/>
  <c r="Q137" i="7"/>
  <c r="Q139" i="7"/>
  <c r="Q141" i="7"/>
  <c r="Q143" i="7"/>
  <c r="Q145" i="7"/>
  <c r="Q147" i="7"/>
  <c r="Q149" i="7"/>
  <c r="Q151" i="7"/>
  <c r="Q153" i="7"/>
  <c r="Q155" i="7"/>
  <c r="Q157" i="7"/>
  <c r="Q159" i="7"/>
  <c r="Q161" i="7"/>
  <c r="Q163" i="7"/>
  <c r="Q165" i="7"/>
  <c r="Q167" i="7"/>
  <c r="Q169" i="7"/>
  <c r="Q171" i="7"/>
  <c r="Q173" i="7"/>
  <c r="Q7" i="7"/>
  <c r="Q11" i="7"/>
  <c r="Q15" i="7"/>
  <c r="Q19" i="7"/>
  <c r="Q23" i="7"/>
  <c r="BQ23" i="7" s="1"/>
  <c r="Q27" i="7"/>
  <c r="Q31" i="7"/>
  <c r="BQ31" i="7" s="1"/>
  <c r="Q35" i="7"/>
  <c r="Q42" i="7"/>
  <c r="O42" i="7" s="1"/>
  <c r="Q46" i="7"/>
  <c r="O46" i="7" s="1"/>
  <c r="Q50" i="7"/>
  <c r="O50" i="7" s="1"/>
  <c r="Q54" i="7"/>
  <c r="O54" i="7" s="1"/>
  <c r="Q58" i="7"/>
  <c r="O58" i="7" s="1"/>
  <c r="Q62" i="7"/>
  <c r="O62" i="7" s="1"/>
  <c r="Q66" i="7"/>
  <c r="O66" i="7" s="1"/>
  <c r="Q70" i="7"/>
  <c r="O70" i="7" s="1"/>
  <c r="Q74" i="7"/>
  <c r="O74" i="7" s="1"/>
  <c r="Q78" i="7"/>
  <c r="O78" i="7" s="1"/>
  <c r="Q82" i="7"/>
  <c r="O82" i="7" s="1"/>
  <c r="Q86" i="7"/>
  <c r="O86" i="7" s="1"/>
  <c r="Q90" i="7"/>
  <c r="O90" i="7" s="1"/>
  <c r="Q94" i="7"/>
  <c r="O94" i="7" s="1"/>
  <c r="Q98" i="7"/>
  <c r="O98" i="7" s="1"/>
  <c r="Q102" i="7"/>
  <c r="Q106" i="7"/>
  <c r="O106" i="7" s="1"/>
  <c r="Q110" i="7"/>
  <c r="O110" i="7" s="1"/>
  <c r="Q114" i="7"/>
  <c r="O114" i="7" s="1"/>
  <c r="Q118" i="7"/>
  <c r="O118" i="7" s="1"/>
  <c r="Q122" i="7"/>
  <c r="Q126" i="7"/>
  <c r="O126" i="7" s="1"/>
  <c r="Q130" i="7"/>
  <c r="O130" i="7" s="1"/>
  <c r="Q134" i="7"/>
  <c r="O134" i="7" s="1"/>
  <c r="Q138" i="7"/>
  <c r="Q142" i="7"/>
  <c r="O142" i="7" s="1"/>
  <c r="Q146" i="7"/>
  <c r="O146" i="7" s="1"/>
  <c r="Q150" i="7"/>
  <c r="O150" i="7" s="1"/>
  <c r="Q154" i="7"/>
  <c r="Q158" i="7"/>
  <c r="O158" i="7" s="1"/>
  <c r="Q162" i="7"/>
  <c r="O162" i="7" s="1"/>
  <c r="Q166" i="7"/>
  <c r="Q170" i="7"/>
  <c r="Q174" i="7"/>
  <c r="O174" i="7" s="1"/>
  <c r="Q176" i="7"/>
  <c r="O176" i="7" s="1"/>
  <c r="Q178" i="7"/>
  <c r="O178" i="7" s="1"/>
  <c r="Q180" i="7"/>
  <c r="O180" i="7" s="1"/>
  <c r="Q182" i="7"/>
  <c r="O182" i="7" s="1"/>
  <c r="Q184" i="7"/>
  <c r="O184" i="7" s="1"/>
  <c r="Q186" i="7"/>
  <c r="O186" i="7" s="1"/>
  <c r="Q188" i="7"/>
  <c r="O188" i="7" s="1"/>
  <c r="Q190" i="7"/>
  <c r="Q192" i="7"/>
  <c r="O192" i="7" s="1"/>
  <c r="Q194" i="7"/>
  <c r="O194" i="7" s="1"/>
  <c r="Q196" i="7"/>
  <c r="O196" i="7" s="1"/>
  <c r="Q198" i="7"/>
  <c r="O198" i="7" s="1"/>
  <c r="Q200" i="7"/>
  <c r="O200" i="7" s="1"/>
  <c r="Q202" i="7"/>
  <c r="O202" i="7" s="1"/>
  <c r="Q204" i="7"/>
  <c r="O204" i="7" s="1"/>
  <c r="Q9" i="7"/>
  <c r="Q13" i="7"/>
  <c r="Q17" i="7"/>
  <c r="Q21" i="7"/>
  <c r="Q25" i="7"/>
  <c r="Q29" i="7"/>
  <c r="Q33" i="7"/>
  <c r="Q40" i="7"/>
  <c r="O40" i="7" s="1"/>
  <c r="Q48" i="7"/>
  <c r="Q56" i="7"/>
  <c r="O56" i="7" s="1"/>
  <c r="Q64" i="7"/>
  <c r="Q72" i="7"/>
  <c r="O72" i="7" s="1"/>
  <c r="Q80" i="7"/>
  <c r="Q88" i="7"/>
  <c r="O88" i="7" s="1"/>
  <c r="Q96" i="7"/>
  <c r="Q104" i="7"/>
  <c r="O104" i="7" s="1"/>
  <c r="Q112" i="7"/>
  <c r="O112" i="7" s="1"/>
  <c r="Q120" i="7"/>
  <c r="O120" i="7" s="1"/>
  <c r="Q128" i="7"/>
  <c r="Q136" i="7"/>
  <c r="O136" i="7" s="1"/>
  <c r="Q144" i="7"/>
  <c r="Q152" i="7"/>
  <c r="O152" i="7" s="1"/>
  <c r="Q160" i="7"/>
  <c r="Q168" i="7"/>
  <c r="O168" i="7" s="1"/>
  <c r="Q175" i="7"/>
  <c r="Q179" i="7"/>
  <c r="Q183" i="7"/>
  <c r="Q187" i="7"/>
  <c r="Q191" i="7"/>
  <c r="Q195" i="7"/>
  <c r="Q199" i="7"/>
  <c r="Q203" i="7"/>
  <c r="Q37" i="7"/>
  <c r="Q44" i="7"/>
  <c r="O44" i="7" s="1"/>
  <c r="Q52" i="7"/>
  <c r="O52" i="7" s="1"/>
  <c r="Q60" i="7"/>
  <c r="O60" i="7" s="1"/>
  <c r="Q68" i="7"/>
  <c r="O68" i="7" s="1"/>
  <c r="Q76" i="7"/>
  <c r="O76" i="7" s="1"/>
  <c r="Q84" i="7"/>
  <c r="O84" i="7" s="1"/>
  <c r="Q92" i="7"/>
  <c r="O92" i="7" s="1"/>
  <c r="Q100" i="7"/>
  <c r="O100" i="7" s="1"/>
  <c r="Q108" i="7"/>
  <c r="O108" i="7" s="1"/>
  <c r="Q116" i="7"/>
  <c r="O116" i="7" s="1"/>
  <c r="Q124" i="7"/>
  <c r="O124" i="7" s="1"/>
  <c r="Q132" i="7"/>
  <c r="O132" i="7" s="1"/>
  <c r="Q140" i="7"/>
  <c r="O140" i="7" s="1"/>
  <c r="Q148" i="7"/>
  <c r="O148" i="7" s="1"/>
  <c r="Q156" i="7"/>
  <c r="O156" i="7" s="1"/>
  <c r="Q164" i="7"/>
  <c r="O164" i="7" s="1"/>
  <c r="Q172" i="7"/>
  <c r="O172" i="7" s="1"/>
  <c r="Q177" i="7"/>
  <c r="Q181" i="7"/>
  <c r="Q185" i="7"/>
  <c r="Q189" i="7"/>
  <c r="Q193" i="7"/>
  <c r="Q197" i="7"/>
  <c r="Q201" i="7"/>
  <c r="T12" i="34"/>
  <c r="R12" i="34" s="1"/>
  <c r="Q205" i="7"/>
  <c r="P61" i="7"/>
  <c r="AH61" i="7" s="1"/>
  <c r="P63" i="7"/>
  <c r="AH63" i="7" s="1"/>
  <c r="O122" i="7"/>
  <c r="T6" i="34"/>
  <c r="BT6" i="34" s="1"/>
  <c r="T9" i="34"/>
  <c r="R9" i="34" s="1"/>
  <c r="T11" i="34"/>
  <c r="R11" i="34" s="1"/>
  <c r="T5" i="34"/>
  <c r="T7" i="34"/>
  <c r="BT7" i="34" s="1"/>
  <c r="T8" i="34"/>
  <c r="T10" i="34"/>
  <c r="T13" i="34"/>
  <c r="R13" i="34" s="1"/>
  <c r="O170" i="7"/>
  <c r="O160" i="7"/>
  <c r="O128" i="7"/>
  <c r="O18" i="7"/>
  <c r="O14" i="7"/>
  <c r="O34" i="7"/>
  <c r="O30" i="7"/>
  <c r="O22" i="7"/>
  <c r="P21" i="7"/>
  <c r="AH21" i="7" s="1"/>
  <c r="O102" i="7"/>
  <c r="P203" i="7"/>
  <c r="P151" i="7"/>
  <c r="P147" i="7"/>
  <c r="P131" i="7"/>
  <c r="AH131" i="7" s="1"/>
  <c r="P123" i="7"/>
  <c r="P119" i="7"/>
  <c r="P115" i="7"/>
  <c r="AH115" i="7" s="1"/>
  <c r="P107" i="7"/>
  <c r="P99" i="7"/>
  <c r="P95" i="7"/>
  <c r="AH95" i="7" s="1"/>
  <c r="P83" i="7"/>
  <c r="P67" i="7"/>
  <c r="P64" i="7"/>
  <c r="P201" i="7"/>
  <c r="P189" i="7"/>
  <c r="P153" i="7"/>
  <c r="P145" i="7"/>
  <c r="P137" i="7"/>
  <c r="P109" i="7"/>
  <c r="AH109" i="7" s="1"/>
  <c r="P105" i="7"/>
  <c r="P101" i="7"/>
  <c r="P93" i="7"/>
  <c r="P69" i="7"/>
  <c r="P55" i="7"/>
  <c r="P51" i="7"/>
  <c r="P47" i="7"/>
  <c r="AH47" i="7" s="1"/>
  <c r="P199" i="7"/>
  <c r="P31" i="7"/>
  <c r="P23" i="7"/>
  <c r="AH23" i="7" s="1"/>
  <c r="P11" i="7"/>
  <c r="P7" i="7"/>
  <c r="AH7" i="7" s="1"/>
  <c r="P37" i="7"/>
  <c r="P25" i="7"/>
  <c r="P17" i="7"/>
  <c r="P9" i="7"/>
  <c r="P171" i="7"/>
  <c r="P143" i="7"/>
  <c r="P127" i="7"/>
  <c r="P111" i="7"/>
  <c r="P103" i="7"/>
  <c r="AH103" i="7" s="1"/>
  <c r="P57" i="7"/>
  <c r="P49" i="7"/>
  <c r="P45" i="7"/>
  <c r="P185" i="7"/>
  <c r="AH185" i="7" s="1"/>
  <c r="P197" i="7"/>
  <c r="P173" i="7"/>
  <c r="AH173" i="7" s="1"/>
  <c r="P169" i="7"/>
  <c r="P149" i="7"/>
  <c r="AH149" i="7" s="1"/>
  <c r="P141" i="7"/>
  <c r="P129" i="7"/>
  <c r="P117" i="7"/>
  <c r="P73" i="7"/>
  <c r="P183" i="7"/>
  <c r="P179" i="7"/>
  <c r="P19" i="7"/>
  <c r="P33" i="7"/>
  <c r="P29" i="7"/>
  <c r="AH29" i="7" s="1"/>
  <c r="P175" i="7"/>
  <c r="P167" i="7"/>
  <c r="P163" i="7"/>
  <c r="AH163" i="7" s="1"/>
  <c r="P159" i="7"/>
  <c r="P155" i="7"/>
  <c r="P139" i="7"/>
  <c r="P135" i="7"/>
  <c r="P91" i="7"/>
  <c r="P87" i="7"/>
  <c r="P79" i="7"/>
  <c r="P75" i="7"/>
  <c r="P71" i="7"/>
  <c r="P53" i="7"/>
  <c r="P181" i="7"/>
  <c r="P177" i="7"/>
  <c r="P193" i="7"/>
  <c r="P43" i="7"/>
  <c r="P165" i="7"/>
  <c r="P161" i="7"/>
  <c r="P157" i="7"/>
  <c r="P133" i="7"/>
  <c r="P125" i="7"/>
  <c r="P121" i="7"/>
  <c r="P113" i="7"/>
  <c r="P97" i="7"/>
  <c r="P89" i="7"/>
  <c r="AH89" i="7" s="1"/>
  <c r="P85" i="7"/>
  <c r="P81" i="7"/>
  <c r="P77" i="7"/>
  <c r="P65" i="7"/>
  <c r="P59" i="7"/>
  <c r="P187" i="7"/>
  <c r="P195" i="7"/>
  <c r="P191" i="7"/>
  <c r="P39" i="7"/>
  <c r="P35" i="7"/>
  <c r="P27" i="7"/>
  <c r="P15" i="7"/>
  <c r="AH15" i="7" s="1"/>
  <c r="P41" i="7"/>
  <c r="P13" i="7"/>
  <c r="W8" i="27"/>
  <c r="U8" i="27" s="1"/>
  <c r="W6" i="27"/>
  <c r="W7" i="27"/>
  <c r="U7" i="27" s="1"/>
  <c r="AA7" i="27" s="1"/>
  <c r="BQ9" i="7"/>
  <c r="BM19" i="7"/>
  <c r="BQ27" i="7"/>
  <c r="BM33" i="7"/>
  <c r="BM41" i="7"/>
  <c r="BM45" i="7"/>
  <c r="BQ51" i="7"/>
  <c r="BQ53" i="7"/>
  <c r="BQ65" i="7"/>
  <c r="BM67" i="7"/>
  <c r="BM69" i="7"/>
  <c r="BM71" i="7"/>
  <c r="BM75" i="7"/>
  <c r="BQ77" i="7"/>
  <c r="BQ81" i="7"/>
  <c r="BM85" i="7"/>
  <c r="BM87" i="7"/>
  <c r="BM93" i="7"/>
  <c r="BM95" i="7"/>
  <c r="BM109" i="7"/>
  <c r="BQ113" i="7"/>
  <c r="BM117" i="7"/>
  <c r="BM119" i="7"/>
  <c r="BM123" i="7"/>
  <c r="BM125" i="7"/>
  <c r="BM129" i="7"/>
  <c r="O48" i="7"/>
  <c r="O138" i="7"/>
  <c r="O144" i="7"/>
  <c r="O154" i="7"/>
  <c r="O166" i="7"/>
  <c r="O190" i="7"/>
  <c r="O6" i="7"/>
  <c r="O10" i="7"/>
  <c r="O26" i="7"/>
  <c r="O80" i="7"/>
  <c r="O96" i="7"/>
  <c r="BM141" i="7"/>
  <c r="BM149" i="7"/>
  <c r="BM151" i="7"/>
  <c r="BQ153" i="7"/>
  <c r="BM155" i="7"/>
  <c r="BQ157" i="7"/>
  <c r="BM165" i="7"/>
  <c r="BQ167" i="7"/>
  <c r="BM169" i="7"/>
  <c r="BQ171" i="7"/>
  <c r="BM175" i="7"/>
  <c r="BQ177" i="7"/>
  <c r="BQ189" i="7"/>
  <c r="BM195" i="7"/>
  <c r="L16" i="8"/>
  <c r="P5" i="7"/>
  <c r="Q5" i="7"/>
  <c r="C24" i="5"/>
  <c r="C25" i="5"/>
  <c r="C26" i="5"/>
  <c r="C27" i="5"/>
  <c r="C28" i="5"/>
  <c r="C29" i="5"/>
  <c r="C23" i="5"/>
  <c r="S29" i="22" l="1"/>
  <c r="Q29" i="22" s="1"/>
  <c r="S12" i="22"/>
  <c r="Q12" i="22" s="1"/>
  <c r="S15" i="22"/>
  <c r="S25" i="22"/>
  <c r="Q25" i="22" s="1"/>
  <c r="S17" i="22"/>
  <c r="Q17" i="22" s="1"/>
  <c r="S7" i="22"/>
  <c r="Q7" i="22" s="1"/>
  <c r="S11" i="22"/>
  <c r="Q11" i="22" s="1"/>
  <c r="S18" i="22"/>
  <c r="Q18" i="22" s="1"/>
  <c r="S22" i="22"/>
  <c r="S27" i="22"/>
  <c r="Q27" i="22" s="1"/>
  <c r="S8" i="22"/>
  <c r="Q8" i="22" s="1"/>
  <c r="S13" i="22"/>
  <c r="Q13" i="22" s="1"/>
  <c r="S19" i="22"/>
  <c r="Q19" i="22" s="1"/>
  <c r="S23" i="22"/>
  <c r="S28" i="22"/>
  <c r="Q28" i="22" s="1"/>
  <c r="S9" i="22"/>
  <c r="S14" i="22"/>
  <c r="T14" i="22" s="1"/>
  <c r="S20" i="22"/>
  <c r="S24" i="22"/>
  <c r="Q24" i="22" s="1"/>
  <c r="S30" i="22"/>
  <c r="Q30" i="22" s="1"/>
  <c r="S6" i="22"/>
  <c r="Q6" i="22" s="1"/>
  <c r="S10" i="22"/>
  <c r="Q10" i="22" s="1"/>
  <c r="S16" i="22"/>
  <c r="Q16" i="22" s="1"/>
  <c r="S21" i="22"/>
  <c r="S26" i="22"/>
  <c r="Q26" i="22" s="1"/>
  <c r="AK12" i="34"/>
  <c r="AS12" i="34" s="1"/>
  <c r="AM12" i="34"/>
  <c r="AU12" i="34" s="1"/>
  <c r="AN12" i="34"/>
  <c r="AV12" i="34" s="1"/>
  <c r="AO12" i="34"/>
  <c r="AW12" i="34" s="1"/>
  <c r="AL12" i="34"/>
  <c r="AP12" i="34"/>
  <c r="AX12" i="34" s="1"/>
  <c r="P205" i="7"/>
  <c r="BQ173" i="7"/>
  <c r="BM173" i="7"/>
  <c r="BM131" i="7"/>
  <c r="BQ131" i="7"/>
  <c r="BM139" i="7"/>
  <c r="BQ139" i="7"/>
  <c r="BT5" i="34"/>
  <c r="BT19" i="34" s="1"/>
  <c r="BM37" i="34"/>
  <c r="BO37" i="34" s="1"/>
  <c r="BM5" i="7"/>
  <c r="BQ5" i="7"/>
  <c r="BM35" i="7"/>
  <c r="BQ35" i="7"/>
  <c r="BM15" i="7"/>
  <c r="BQ15" i="7"/>
  <c r="O63" i="7"/>
  <c r="BZ28" i="22"/>
  <c r="BZ21" i="22"/>
  <c r="S5" i="22"/>
  <c r="T18" i="34"/>
  <c r="R18" i="34" s="1"/>
  <c r="T17" i="34"/>
  <c r="T14" i="34"/>
  <c r="T16" i="34"/>
  <c r="R16" i="34" s="1"/>
  <c r="T15" i="34"/>
  <c r="R15" i="34" s="1"/>
  <c r="BZ30" i="22"/>
  <c r="AN13" i="34"/>
  <c r="AV13" i="34" s="1"/>
  <c r="AM13" i="34"/>
  <c r="AU13" i="34" s="1"/>
  <c r="AP13" i="34"/>
  <c r="AX13" i="34" s="1"/>
  <c r="AO13" i="34"/>
  <c r="AW13" i="34" s="1"/>
  <c r="AL13" i="34"/>
  <c r="AK13" i="34"/>
  <c r="AS13" i="34" s="1"/>
  <c r="R5" i="34"/>
  <c r="BU9" i="34"/>
  <c r="AP9" i="34"/>
  <c r="AX9" i="34" s="1"/>
  <c r="AO9" i="34"/>
  <c r="AW9" i="34" s="1"/>
  <c r="AM9" i="34"/>
  <c r="AU9" i="34" s="1"/>
  <c r="AN9" i="34"/>
  <c r="AV9" i="34" s="1"/>
  <c r="AK9" i="34"/>
  <c r="AS9" i="34" s="1"/>
  <c r="AL9" i="34"/>
  <c r="AO11" i="34"/>
  <c r="AW11" i="34" s="1"/>
  <c r="AM11" i="34"/>
  <c r="AU11" i="34" s="1"/>
  <c r="AP11" i="34"/>
  <c r="AX11" i="34" s="1"/>
  <c r="AL11" i="34"/>
  <c r="AN11" i="34"/>
  <c r="AV11" i="34" s="1"/>
  <c r="AK11" i="34"/>
  <c r="AS11" i="34" s="1"/>
  <c r="R6" i="34"/>
  <c r="BG205" i="7"/>
  <c r="AC195" i="7"/>
  <c r="AB195" i="7"/>
  <c r="AN195" i="7" s="1"/>
  <c r="AE195" i="7"/>
  <c r="AQ195" i="7" s="1"/>
  <c r="AG195" i="7"/>
  <c r="AS195" i="7" s="1"/>
  <c r="AA195" i="7"/>
  <c r="AM195" i="7" s="1"/>
  <c r="AD195" i="7"/>
  <c r="AP195" i="7" s="1"/>
  <c r="AF195" i="7"/>
  <c r="AR195" i="7" s="1"/>
  <c r="AI195" i="7"/>
  <c r="AC169" i="7"/>
  <c r="AA169" i="7"/>
  <c r="AD169" i="7"/>
  <c r="AF169" i="7"/>
  <c r="AB169" i="7"/>
  <c r="AE169" i="7"/>
  <c r="AG169" i="7"/>
  <c r="AI169" i="7"/>
  <c r="AA123" i="7"/>
  <c r="AM123" i="7" s="1"/>
  <c r="AD123" i="7"/>
  <c r="AP123" i="7" s="1"/>
  <c r="AF123" i="7"/>
  <c r="AR123" i="7" s="1"/>
  <c r="AC123" i="7"/>
  <c r="AB123" i="7"/>
  <c r="AN123" i="7" s="1"/>
  <c r="AE123" i="7"/>
  <c r="AQ123" i="7" s="1"/>
  <c r="AG123" i="7"/>
  <c r="AS123" i="7" s="1"/>
  <c r="AI123" i="7"/>
  <c r="AC85" i="7"/>
  <c r="AB85" i="7"/>
  <c r="AN85" i="7" s="1"/>
  <c r="AE85" i="7"/>
  <c r="AQ85" i="7" s="1"/>
  <c r="AG85" i="7"/>
  <c r="AS85" i="7" s="1"/>
  <c r="AA85" i="7"/>
  <c r="AM85" i="7" s="1"/>
  <c r="AD85" i="7"/>
  <c r="AP85" i="7" s="1"/>
  <c r="AF85" i="7"/>
  <c r="AR85" i="7" s="1"/>
  <c r="AI85" i="7"/>
  <c r="AB95" i="7"/>
  <c r="AN95" i="7" s="1"/>
  <c r="AE95" i="7"/>
  <c r="AQ95" i="7" s="1"/>
  <c r="AG95" i="7"/>
  <c r="AS95" i="7" s="1"/>
  <c r="AC95" i="7"/>
  <c r="AA95" i="7"/>
  <c r="AM95" i="7" s="1"/>
  <c r="AD95" i="7"/>
  <c r="AP95" i="7" s="1"/>
  <c r="AF95" i="7"/>
  <c r="AR95" i="7" s="1"/>
  <c r="AI95" i="7"/>
  <c r="O21" i="7"/>
  <c r="BZ19" i="22"/>
  <c r="BZ20" i="22"/>
  <c r="AC25" i="7"/>
  <c r="AO25" i="7" s="1"/>
  <c r="AB25" i="7"/>
  <c r="AN25" i="7" s="1"/>
  <c r="AE25" i="7"/>
  <c r="AQ25" i="7" s="1"/>
  <c r="AG25" i="7"/>
  <c r="AS25" i="7" s="1"/>
  <c r="AA25" i="7"/>
  <c r="AM25" i="7" s="1"/>
  <c r="AD25" i="7"/>
  <c r="AP25" i="7" s="1"/>
  <c r="AF25" i="7"/>
  <c r="AR25" i="7" s="1"/>
  <c r="AI25" i="7"/>
  <c r="AB187" i="7"/>
  <c r="AN187" i="7" s="1"/>
  <c r="AE187" i="7"/>
  <c r="AQ187" i="7" s="1"/>
  <c r="AG187" i="7"/>
  <c r="AS187" i="7" s="1"/>
  <c r="AC187" i="7"/>
  <c r="AA187" i="7"/>
  <c r="AM187" i="7" s="1"/>
  <c r="AD187" i="7"/>
  <c r="AP187" i="7" s="1"/>
  <c r="AF187" i="7"/>
  <c r="AR187" i="7" s="1"/>
  <c r="AI187" i="7"/>
  <c r="AC183" i="7"/>
  <c r="AB183" i="7"/>
  <c r="AN183" i="7" s="1"/>
  <c r="AE183" i="7"/>
  <c r="AQ183" i="7" s="1"/>
  <c r="AG183" i="7"/>
  <c r="AS183" i="7" s="1"/>
  <c r="AA183" i="7"/>
  <c r="AM183" i="7" s="1"/>
  <c r="AD183" i="7"/>
  <c r="AP183" i="7" s="1"/>
  <c r="AF183" i="7"/>
  <c r="AR183" i="7" s="1"/>
  <c r="AI183" i="7"/>
  <c r="AB179" i="7"/>
  <c r="AN179" i="7" s="1"/>
  <c r="AE179" i="7"/>
  <c r="AQ179" i="7" s="1"/>
  <c r="AG179" i="7"/>
  <c r="AS179" i="7" s="1"/>
  <c r="AC179" i="7"/>
  <c r="AA179" i="7"/>
  <c r="AM179" i="7" s="1"/>
  <c r="AD179" i="7"/>
  <c r="AP179" i="7" s="1"/>
  <c r="AF179" i="7"/>
  <c r="AR179" i="7" s="1"/>
  <c r="AI179" i="7"/>
  <c r="U79" i="7"/>
  <c r="AG203" i="7"/>
  <c r="AS203" i="7" s="1"/>
  <c r="AE203" i="7"/>
  <c r="AQ203" i="7" s="1"/>
  <c r="AC203" i="7"/>
  <c r="AO203" i="7" s="1"/>
  <c r="AA203" i="7"/>
  <c r="AM203" i="7" s="1"/>
  <c r="AI203" i="7"/>
  <c r="AF203" i="7"/>
  <c r="AR203" i="7" s="1"/>
  <c r="AD203" i="7"/>
  <c r="AP203" i="7" s="1"/>
  <c r="AB203" i="7"/>
  <c r="AN203" i="7" s="1"/>
  <c r="AC129" i="7"/>
  <c r="AA129" i="7"/>
  <c r="AD129" i="7"/>
  <c r="AF129" i="7"/>
  <c r="AB129" i="7"/>
  <c r="AE129" i="7"/>
  <c r="AG129" i="7"/>
  <c r="AI129" i="7"/>
  <c r="AC111" i="7"/>
  <c r="AB111" i="7"/>
  <c r="AN111" i="7" s="1"/>
  <c r="AE111" i="7"/>
  <c r="AQ111" i="7" s="1"/>
  <c r="AG111" i="7"/>
  <c r="AS111" i="7" s="1"/>
  <c r="AA111" i="7"/>
  <c r="AM111" i="7" s="1"/>
  <c r="AD111" i="7"/>
  <c r="AP111" i="7" s="1"/>
  <c r="AF111" i="7"/>
  <c r="AR111" i="7" s="1"/>
  <c r="AI111" i="7"/>
  <c r="AB107" i="7"/>
  <c r="AN107" i="7" s="1"/>
  <c r="AE107" i="7"/>
  <c r="AQ107" i="7" s="1"/>
  <c r="AG107" i="7"/>
  <c r="AS107" i="7" s="1"/>
  <c r="AC107" i="7"/>
  <c r="AA107" i="7"/>
  <c r="AM107" i="7" s="1"/>
  <c r="AD107" i="7"/>
  <c r="AP107" i="7" s="1"/>
  <c r="AF107" i="7"/>
  <c r="AR107" i="7" s="1"/>
  <c r="AI107" i="7"/>
  <c r="AC93" i="7"/>
  <c r="AB93" i="7"/>
  <c r="AN93" i="7" s="1"/>
  <c r="AE93" i="7"/>
  <c r="AQ93" i="7" s="1"/>
  <c r="AG93" i="7"/>
  <c r="AS93" i="7" s="1"/>
  <c r="AA93" i="7"/>
  <c r="AM93" i="7" s="1"/>
  <c r="AD93" i="7"/>
  <c r="AP93" i="7" s="1"/>
  <c r="AF93" i="7"/>
  <c r="AR93" i="7" s="1"/>
  <c r="AI93" i="7"/>
  <c r="AA73" i="7"/>
  <c r="AD73" i="7"/>
  <c r="AF73" i="7"/>
  <c r="AC73" i="7"/>
  <c r="AB73" i="7"/>
  <c r="AE73" i="7"/>
  <c r="AG73" i="7"/>
  <c r="AI73" i="7"/>
  <c r="AC45" i="7"/>
  <c r="AA45" i="7"/>
  <c r="AD45" i="7"/>
  <c r="AF45" i="7"/>
  <c r="AB45" i="7"/>
  <c r="AE45" i="7"/>
  <c r="AG45" i="7"/>
  <c r="AI45" i="7"/>
  <c r="Y79" i="7"/>
  <c r="W79" i="7"/>
  <c r="X79" i="7"/>
  <c r="AH19" i="7"/>
  <c r="AB59" i="7"/>
  <c r="AN59" i="7" s="1"/>
  <c r="AE59" i="7"/>
  <c r="AQ59" i="7" s="1"/>
  <c r="AG59" i="7"/>
  <c r="AS59" i="7" s="1"/>
  <c r="AC59" i="7"/>
  <c r="AA59" i="7"/>
  <c r="AM59" i="7" s="1"/>
  <c r="AD59" i="7"/>
  <c r="AP59" i="7" s="1"/>
  <c r="AF59" i="7"/>
  <c r="AR59" i="7" s="1"/>
  <c r="AI59" i="7"/>
  <c r="AA23" i="7"/>
  <c r="AM23" i="7" s="1"/>
  <c r="AD23" i="7"/>
  <c r="AP23" i="7" s="1"/>
  <c r="AF23" i="7"/>
  <c r="AR23" i="7" s="1"/>
  <c r="AC23" i="7"/>
  <c r="AO23" i="7" s="1"/>
  <c r="AB23" i="7"/>
  <c r="AN23" i="7" s="1"/>
  <c r="AE23" i="7"/>
  <c r="AQ23" i="7" s="1"/>
  <c r="AG23" i="7"/>
  <c r="AS23" i="7" s="1"/>
  <c r="AI23" i="7"/>
  <c r="AH13" i="7"/>
  <c r="O37" i="7"/>
  <c r="AH153" i="7"/>
  <c r="AH43" i="7"/>
  <c r="AH129" i="7"/>
  <c r="AB43" i="7"/>
  <c r="AE43" i="7"/>
  <c r="AG43" i="7"/>
  <c r="AC43" i="7"/>
  <c r="AA43" i="7"/>
  <c r="AD43" i="7"/>
  <c r="AF43" i="7"/>
  <c r="AI43" i="7"/>
  <c r="AF5" i="7"/>
  <c r="AR5" i="7" s="1"/>
  <c r="AD5" i="7"/>
  <c r="AP5" i="7" s="1"/>
  <c r="AA5" i="7"/>
  <c r="AM5" i="7" s="1"/>
  <c r="AC5" i="7"/>
  <c r="AO5" i="7" s="1"/>
  <c r="AG5" i="7"/>
  <c r="AS5" i="7" s="1"/>
  <c r="AE5" i="7"/>
  <c r="AQ5" i="7" s="1"/>
  <c r="AB5" i="7"/>
  <c r="AN5" i="7" s="1"/>
  <c r="AI5" i="7"/>
  <c r="AA87" i="7"/>
  <c r="AM87" i="7" s="1"/>
  <c r="AD87" i="7"/>
  <c r="AP87" i="7" s="1"/>
  <c r="AF87" i="7"/>
  <c r="AR87" i="7" s="1"/>
  <c r="AC87" i="7"/>
  <c r="AB87" i="7"/>
  <c r="AN87" i="7" s="1"/>
  <c r="AE87" i="7"/>
  <c r="AQ87" i="7" s="1"/>
  <c r="AG87" i="7"/>
  <c r="AS87" i="7" s="1"/>
  <c r="AI87" i="7"/>
  <c r="AA83" i="7"/>
  <c r="AM83" i="7" s="1"/>
  <c r="AD83" i="7"/>
  <c r="AP83" i="7" s="1"/>
  <c r="AF83" i="7"/>
  <c r="AR83" i="7" s="1"/>
  <c r="AC83" i="7"/>
  <c r="AB83" i="7"/>
  <c r="AN83" i="7" s="1"/>
  <c r="AE83" i="7"/>
  <c r="AQ83" i="7" s="1"/>
  <c r="AG83" i="7"/>
  <c r="AS83" i="7" s="1"/>
  <c r="AI83" i="7"/>
  <c r="AC64" i="7"/>
  <c r="AB64" i="7"/>
  <c r="AN64" i="7" s="1"/>
  <c r="AE64" i="7"/>
  <c r="AQ64" i="7" s="1"/>
  <c r="AG64" i="7"/>
  <c r="AS64" i="7" s="1"/>
  <c r="AA64" i="7"/>
  <c r="AM64" i="7" s="1"/>
  <c r="AD64" i="7"/>
  <c r="AP64" i="7" s="1"/>
  <c r="AF64" i="7"/>
  <c r="AR64" i="7" s="1"/>
  <c r="AI64" i="7"/>
  <c r="AB55" i="7"/>
  <c r="AN55" i="7" s="1"/>
  <c r="AE55" i="7"/>
  <c r="AQ55" i="7" s="1"/>
  <c r="AG55" i="7"/>
  <c r="AS55" i="7" s="1"/>
  <c r="AC55" i="7"/>
  <c r="AA55" i="7"/>
  <c r="AM55" i="7" s="1"/>
  <c r="AD55" i="7"/>
  <c r="AP55" i="7" s="1"/>
  <c r="AF55" i="7"/>
  <c r="AR55" i="7" s="1"/>
  <c r="AI55" i="7"/>
  <c r="AA27" i="7"/>
  <c r="AM27" i="7" s="1"/>
  <c r="AD27" i="7"/>
  <c r="AP27" i="7" s="1"/>
  <c r="AF27" i="7"/>
  <c r="AR27" i="7" s="1"/>
  <c r="AC27" i="7"/>
  <c r="AO27" i="7" s="1"/>
  <c r="AB27" i="7"/>
  <c r="AN27" i="7" s="1"/>
  <c r="AE27" i="7"/>
  <c r="AQ27" i="7" s="1"/>
  <c r="AG27" i="7"/>
  <c r="AS27" i="7" s="1"/>
  <c r="AI27" i="7"/>
  <c r="O43" i="7"/>
  <c r="O53" i="7"/>
  <c r="O73" i="7"/>
  <c r="O185" i="7"/>
  <c r="O49" i="7"/>
  <c r="O103" i="7"/>
  <c r="O171" i="7"/>
  <c r="O7" i="7"/>
  <c r="O23" i="7"/>
  <c r="O199" i="7"/>
  <c r="O51" i="7"/>
  <c r="O109" i="7"/>
  <c r="AB163" i="7"/>
  <c r="AN163" i="7" s="1"/>
  <c r="AE163" i="7"/>
  <c r="AQ163" i="7" s="1"/>
  <c r="AG163" i="7"/>
  <c r="AS163" i="7" s="1"/>
  <c r="AC163" i="7"/>
  <c r="AA163" i="7"/>
  <c r="AM163" i="7" s="1"/>
  <c r="AD163" i="7"/>
  <c r="AP163" i="7" s="1"/>
  <c r="AF163" i="7"/>
  <c r="AR163" i="7" s="1"/>
  <c r="AI163" i="7"/>
  <c r="AC139" i="7"/>
  <c r="AB139" i="7"/>
  <c r="AE139" i="7"/>
  <c r="AG139" i="7"/>
  <c r="AA139" i="7"/>
  <c r="AD139" i="7"/>
  <c r="AF139" i="7"/>
  <c r="AI139" i="7"/>
  <c r="AA113" i="7"/>
  <c r="AM113" i="7" s="1"/>
  <c r="AD113" i="7"/>
  <c r="AP113" i="7" s="1"/>
  <c r="AF113" i="7"/>
  <c r="AR113" i="7" s="1"/>
  <c r="AC113" i="7"/>
  <c r="AB113" i="7"/>
  <c r="AN113" i="7" s="1"/>
  <c r="AE113" i="7"/>
  <c r="AQ113" i="7" s="1"/>
  <c r="AG113" i="7"/>
  <c r="AS113" i="7" s="1"/>
  <c r="AI113" i="7"/>
  <c r="AA97" i="7"/>
  <c r="AD97" i="7"/>
  <c r="AF97" i="7"/>
  <c r="AC97" i="7"/>
  <c r="AB97" i="7"/>
  <c r="AE97" i="7"/>
  <c r="AG97" i="7"/>
  <c r="AI97" i="7"/>
  <c r="AA81" i="7"/>
  <c r="AM81" i="7" s="1"/>
  <c r="AD81" i="7"/>
  <c r="AP81" i="7" s="1"/>
  <c r="AF81" i="7"/>
  <c r="AR81" i="7" s="1"/>
  <c r="AC81" i="7"/>
  <c r="AB81" i="7"/>
  <c r="AN81" i="7" s="1"/>
  <c r="AE81" i="7"/>
  <c r="AQ81" i="7" s="1"/>
  <c r="AG81" i="7"/>
  <c r="AS81" i="7" s="1"/>
  <c r="AI81" i="7"/>
  <c r="AA77" i="7"/>
  <c r="AM77" i="7" s="1"/>
  <c r="AD77" i="7"/>
  <c r="AP77" i="7" s="1"/>
  <c r="AF77" i="7"/>
  <c r="AR77" i="7" s="1"/>
  <c r="AC77" i="7"/>
  <c r="AB77" i="7"/>
  <c r="AN77" i="7" s="1"/>
  <c r="AE77" i="7"/>
  <c r="AQ77" i="7" s="1"/>
  <c r="AG77" i="7"/>
  <c r="AS77" i="7" s="1"/>
  <c r="AI77" i="7"/>
  <c r="AC33" i="7"/>
  <c r="AA33" i="7"/>
  <c r="AM33" i="7" s="1"/>
  <c r="AD33" i="7"/>
  <c r="AP33" i="7" s="1"/>
  <c r="AF33" i="7"/>
  <c r="AR33" i="7" s="1"/>
  <c r="AB33" i="7"/>
  <c r="AN33" i="7" s="1"/>
  <c r="AE33" i="7"/>
  <c r="AQ33" i="7" s="1"/>
  <c r="AG33" i="7"/>
  <c r="AS33" i="7" s="1"/>
  <c r="AI33" i="7"/>
  <c r="O15" i="7"/>
  <c r="O89" i="7"/>
  <c r="O169" i="7"/>
  <c r="O45" i="7"/>
  <c r="O111" i="7"/>
  <c r="O31" i="7"/>
  <c r="O47" i="7"/>
  <c r="O105" i="7"/>
  <c r="O95" i="7"/>
  <c r="O131" i="7"/>
  <c r="O61" i="7"/>
  <c r="AI61" i="7"/>
  <c r="AF61" i="7"/>
  <c r="AR61" i="7" s="1"/>
  <c r="AD61" i="7"/>
  <c r="AP61" i="7" s="1"/>
  <c r="AB61" i="7"/>
  <c r="AN61" i="7" s="1"/>
  <c r="AG61" i="7"/>
  <c r="AS61" i="7" s="1"/>
  <c r="AE61" i="7"/>
  <c r="AQ61" i="7" s="1"/>
  <c r="AC61" i="7"/>
  <c r="AO61" i="7" s="1"/>
  <c r="AA61" i="7"/>
  <c r="AM61" i="7" s="1"/>
  <c r="O203" i="7"/>
  <c r="AH201" i="7"/>
  <c r="O201" i="7"/>
  <c r="AH197" i="7"/>
  <c r="O197" i="7"/>
  <c r="AH195" i="7"/>
  <c r="O195" i="7"/>
  <c r="AH193" i="7"/>
  <c r="O193" i="7"/>
  <c r="AH191" i="7"/>
  <c r="O191" i="7"/>
  <c r="AH189" i="7"/>
  <c r="O189" i="7"/>
  <c r="AH187" i="7"/>
  <c r="O187" i="7"/>
  <c r="AH183" i="7"/>
  <c r="O183" i="7"/>
  <c r="AH181" i="7"/>
  <c r="O181" i="7"/>
  <c r="AH179" i="7"/>
  <c r="O179" i="7"/>
  <c r="AH177" i="7"/>
  <c r="O177" i="7"/>
  <c r="AH175" i="7"/>
  <c r="O175" i="7"/>
  <c r="O173" i="7"/>
  <c r="AH167" i="7"/>
  <c r="O167" i="7"/>
  <c r="AH165" i="7"/>
  <c r="O165" i="7"/>
  <c r="O163" i="7"/>
  <c r="AH161" i="7"/>
  <c r="O161" i="7"/>
  <c r="AH159" i="7"/>
  <c r="O159" i="7"/>
  <c r="AH157" i="7"/>
  <c r="O157" i="7"/>
  <c r="AH155" i="7"/>
  <c r="O155" i="7"/>
  <c r="O153" i="7"/>
  <c r="AH151" i="7"/>
  <c r="O151" i="7"/>
  <c r="O149" i="7"/>
  <c r="AH147" i="7"/>
  <c r="O147" i="7"/>
  <c r="AH145" i="7"/>
  <c r="O145" i="7"/>
  <c r="AH143" i="7"/>
  <c r="O143" i="7"/>
  <c r="AH141" i="7"/>
  <c r="O141" i="7"/>
  <c r="O139" i="7"/>
  <c r="AH137" i="7"/>
  <c r="O137" i="7"/>
  <c r="AH135" i="7"/>
  <c r="O135" i="7"/>
  <c r="AH133" i="7"/>
  <c r="O133" i="7"/>
  <c r="AH125" i="7"/>
  <c r="O125" i="7"/>
  <c r="AH123" i="7"/>
  <c r="O123" i="7"/>
  <c r="AH121" i="7"/>
  <c r="O121" i="7"/>
  <c r="AH119" i="7"/>
  <c r="O119" i="7"/>
  <c r="AH117" i="7"/>
  <c r="O117" i="7"/>
  <c r="O115" i="7"/>
  <c r="AH113" i="7"/>
  <c r="O113" i="7"/>
  <c r="AH107" i="7"/>
  <c r="O107" i="7"/>
  <c r="AH101" i="7"/>
  <c r="O101" i="7"/>
  <c r="AH99" i="7"/>
  <c r="O99" i="7"/>
  <c r="AH97" i="7"/>
  <c r="O97" i="7"/>
  <c r="AH93" i="7"/>
  <c r="O93" i="7"/>
  <c r="AH91" i="7"/>
  <c r="O91" i="7"/>
  <c r="AH87" i="7"/>
  <c r="O87" i="7"/>
  <c r="AH85" i="7"/>
  <c r="O85" i="7"/>
  <c r="AH83" i="7"/>
  <c r="O83" i="7"/>
  <c r="AH81" i="7"/>
  <c r="O81" i="7"/>
  <c r="AH79" i="7"/>
  <c r="O79" i="7"/>
  <c r="AH77" i="7"/>
  <c r="O77" i="7"/>
  <c r="AH75" i="7"/>
  <c r="O75" i="7"/>
  <c r="AH71" i="7"/>
  <c r="O71" i="7"/>
  <c r="AH69" i="7"/>
  <c r="O69" i="7"/>
  <c r="AH67" i="7"/>
  <c r="O67" i="7"/>
  <c r="AH64" i="7"/>
  <c r="O64" i="7"/>
  <c r="AH59" i="7"/>
  <c r="O59" i="7"/>
  <c r="AH57" i="7"/>
  <c r="O57" i="7"/>
  <c r="AH55" i="7"/>
  <c r="O55" i="7"/>
  <c r="AH41" i="7"/>
  <c r="O41" i="7"/>
  <c r="AH39" i="7"/>
  <c r="O39" i="7"/>
  <c r="AH35" i="7"/>
  <c r="O35" i="7"/>
  <c r="AH33" i="7"/>
  <c r="O33" i="7"/>
  <c r="O29" i="7"/>
  <c r="AH27" i="7"/>
  <c r="O27" i="7"/>
  <c r="AH25" i="7"/>
  <c r="O25" i="7"/>
  <c r="O19" i="7"/>
  <c r="AH17" i="7"/>
  <c r="O17" i="7"/>
  <c r="O13" i="7"/>
  <c r="AH11" i="7"/>
  <c r="O11" i="7"/>
  <c r="AH9" i="7"/>
  <c r="O9" i="7"/>
  <c r="AH203" i="7"/>
  <c r="U6" i="27"/>
  <c r="AA6" i="27" s="1"/>
  <c r="AH111" i="7"/>
  <c r="O65" i="7"/>
  <c r="CF7" i="27"/>
  <c r="Y7" i="27"/>
  <c r="AQ7" i="27" s="1"/>
  <c r="AE7" i="27"/>
  <c r="AW7" i="27" s="1"/>
  <c r="Z7" i="27"/>
  <c r="AR7" i="27" s="1"/>
  <c r="AD7" i="27"/>
  <c r="AV7" i="27" s="1"/>
  <c r="AM7" i="27"/>
  <c r="AC7" i="27"/>
  <c r="AU7" i="27" s="1"/>
  <c r="AB7" i="27"/>
  <c r="AT7" i="27" s="1"/>
  <c r="W9" i="27"/>
  <c r="AC6" i="27"/>
  <c r="Z6" i="27"/>
  <c r="AD6" i="27"/>
  <c r="Y6" i="27"/>
  <c r="AE6" i="27"/>
  <c r="AB6" i="27"/>
  <c r="CF6" i="27"/>
  <c r="O5" i="7"/>
  <c r="AC17" i="7"/>
  <c r="AO17" i="7" s="1"/>
  <c r="AA17" i="7"/>
  <c r="AM17" i="7" s="1"/>
  <c r="AD17" i="7"/>
  <c r="AP17" i="7" s="1"/>
  <c r="AF17" i="7"/>
  <c r="AR17" i="7" s="1"/>
  <c r="AB17" i="7"/>
  <c r="AN17" i="7" s="1"/>
  <c r="AE17" i="7"/>
  <c r="AQ17" i="7" s="1"/>
  <c r="AG17" i="7"/>
  <c r="AS17" i="7" s="1"/>
  <c r="AI17" i="7"/>
  <c r="AB149" i="7"/>
  <c r="AN149" i="7" s="1"/>
  <c r="AE149" i="7"/>
  <c r="AQ149" i="7" s="1"/>
  <c r="AG149" i="7"/>
  <c r="AS149" i="7" s="1"/>
  <c r="AC149" i="7"/>
  <c r="AA149" i="7"/>
  <c r="AM149" i="7" s="1"/>
  <c r="AD149" i="7"/>
  <c r="AP149" i="7" s="1"/>
  <c r="AF149" i="7"/>
  <c r="AR149" i="7" s="1"/>
  <c r="AI149" i="7"/>
  <c r="AH105" i="7"/>
  <c r="AB15" i="7"/>
  <c r="AN15" i="7" s="1"/>
  <c r="AE15" i="7"/>
  <c r="AQ15" i="7" s="1"/>
  <c r="AG15" i="7"/>
  <c r="AS15" i="7" s="1"/>
  <c r="AC15" i="7"/>
  <c r="AO15" i="7" s="1"/>
  <c r="AA15" i="7"/>
  <c r="AM15" i="7" s="1"/>
  <c r="AD15" i="7"/>
  <c r="AP15" i="7" s="1"/>
  <c r="AF15" i="7"/>
  <c r="AR15" i="7" s="1"/>
  <c r="AI15" i="7"/>
  <c r="AC35" i="7"/>
  <c r="AB35" i="7"/>
  <c r="AN35" i="7" s="1"/>
  <c r="AE35" i="7"/>
  <c r="AQ35" i="7" s="1"/>
  <c r="AG35" i="7"/>
  <c r="AS35" i="7" s="1"/>
  <c r="AA35" i="7"/>
  <c r="AM35" i="7" s="1"/>
  <c r="AD35" i="7"/>
  <c r="AP35" i="7" s="1"/>
  <c r="AF35" i="7"/>
  <c r="AR35" i="7" s="1"/>
  <c r="AI35" i="7"/>
  <c r="AA67" i="7"/>
  <c r="AM67" i="7" s="1"/>
  <c r="AD67" i="7"/>
  <c r="AP67" i="7" s="1"/>
  <c r="AF67" i="7"/>
  <c r="AR67" i="7" s="1"/>
  <c r="AC67" i="7"/>
  <c r="AO67" i="7" s="1"/>
  <c r="AB67" i="7"/>
  <c r="AN67" i="7" s="1"/>
  <c r="AE67" i="7"/>
  <c r="AQ67" i="7" s="1"/>
  <c r="AG67" i="7"/>
  <c r="AS67" i="7" s="1"/>
  <c r="AI67" i="7"/>
  <c r="AC135" i="7"/>
  <c r="AB135" i="7"/>
  <c r="AN135" i="7" s="1"/>
  <c r="AE135" i="7"/>
  <c r="AQ135" i="7" s="1"/>
  <c r="AG135" i="7"/>
  <c r="AS135" i="7" s="1"/>
  <c r="AA135" i="7"/>
  <c r="AM135" i="7" s="1"/>
  <c r="AD135" i="7"/>
  <c r="AP135" i="7" s="1"/>
  <c r="AF135" i="7"/>
  <c r="AR135" i="7" s="1"/>
  <c r="AI135" i="7"/>
  <c r="AC71" i="7"/>
  <c r="AB71" i="7"/>
  <c r="AE71" i="7"/>
  <c r="AG71" i="7"/>
  <c r="AA71" i="7"/>
  <c r="AD71" i="7"/>
  <c r="AF71" i="7"/>
  <c r="AI71" i="7"/>
  <c r="AH53" i="7"/>
  <c r="AH49" i="7"/>
  <c r="AH169" i="7"/>
  <c r="AH139" i="7"/>
  <c r="AH5" i="7"/>
  <c r="AC50" i="7"/>
  <c r="AO50" i="7" s="1"/>
  <c r="AB50" i="7"/>
  <c r="AN50" i="7" s="1"/>
  <c r="AE50" i="7"/>
  <c r="AQ50" i="7" s="1"/>
  <c r="AG50" i="7"/>
  <c r="AS50" i="7" s="1"/>
  <c r="AA50" i="7"/>
  <c r="AM50" i="7" s="1"/>
  <c r="AD50" i="7"/>
  <c r="AP50" i="7" s="1"/>
  <c r="AF50" i="7"/>
  <c r="AR50" i="7" s="1"/>
  <c r="AI50" i="7"/>
  <c r="AC137" i="7"/>
  <c r="AB137" i="7"/>
  <c r="AN137" i="7" s="1"/>
  <c r="AE137" i="7"/>
  <c r="AQ137" i="7" s="1"/>
  <c r="AG137" i="7"/>
  <c r="AS137" i="7" s="1"/>
  <c r="AA137" i="7"/>
  <c r="AM137" i="7" s="1"/>
  <c r="AD137" i="7"/>
  <c r="AP137" i="7" s="1"/>
  <c r="AF137" i="7"/>
  <c r="AR137" i="7" s="1"/>
  <c r="AI137" i="7"/>
  <c r="AC157" i="7"/>
  <c r="AB157" i="7"/>
  <c r="AN157" i="7" s="1"/>
  <c r="AE157" i="7"/>
  <c r="AQ157" i="7" s="1"/>
  <c r="AG157" i="7"/>
  <c r="AS157" i="7" s="1"/>
  <c r="AA157" i="7"/>
  <c r="AM157" i="7" s="1"/>
  <c r="AD157" i="7"/>
  <c r="AP157" i="7" s="1"/>
  <c r="AF157" i="7"/>
  <c r="AR157" i="7" s="1"/>
  <c r="AI157" i="7"/>
  <c r="AC105" i="7"/>
  <c r="AB105" i="7"/>
  <c r="AE105" i="7"/>
  <c r="AG105" i="7"/>
  <c r="AA105" i="7"/>
  <c r="AD105" i="7"/>
  <c r="AF105" i="7"/>
  <c r="AI105" i="7"/>
  <c r="AC167" i="7"/>
  <c r="AA167" i="7"/>
  <c r="AM167" i="7" s="1"/>
  <c r="AD167" i="7"/>
  <c r="AP167" i="7" s="1"/>
  <c r="AF167" i="7"/>
  <c r="AR167" i="7" s="1"/>
  <c r="AB167" i="7"/>
  <c r="AN167" i="7" s="1"/>
  <c r="AE167" i="7"/>
  <c r="AQ167" i="7" s="1"/>
  <c r="AG167" i="7"/>
  <c r="AS167" i="7" s="1"/>
  <c r="AI167" i="7"/>
  <c r="AA89" i="7"/>
  <c r="AM89" i="7" s="1"/>
  <c r="AD89" i="7"/>
  <c r="AP89" i="7" s="1"/>
  <c r="AF89" i="7"/>
  <c r="AR89" i="7" s="1"/>
  <c r="AC89" i="7"/>
  <c r="AB89" i="7"/>
  <c r="AN89" i="7" s="1"/>
  <c r="AE89" i="7"/>
  <c r="AQ89" i="7" s="1"/>
  <c r="AG89" i="7"/>
  <c r="AS89" i="7" s="1"/>
  <c r="AI89" i="7"/>
  <c r="AC57" i="7"/>
  <c r="AA57" i="7"/>
  <c r="AM57" i="7" s="1"/>
  <c r="AD57" i="7"/>
  <c r="AP57" i="7" s="1"/>
  <c r="AF57" i="7"/>
  <c r="AR57" i="7" s="1"/>
  <c r="AB57" i="7"/>
  <c r="AN57" i="7" s="1"/>
  <c r="AE57" i="7"/>
  <c r="AQ57" i="7" s="1"/>
  <c r="AG57" i="7"/>
  <c r="AS57" i="7" s="1"/>
  <c r="AI57" i="7"/>
  <c r="AB75" i="7"/>
  <c r="AE75" i="7"/>
  <c r="AG75" i="7"/>
  <c r="AC75" i="7"/>
  <c r="AA75" i="7"/>
  <c r="AD75" i="7"/>
  <c r="AF75" i="7"/>
  <c r="AI75" i="7"/>
  <c r="AB119" i="7"/>
  <c r="AN119" i="7" s="1"/>
  <c r="AE119" i="7"/>
  <c r="AQ119" i="7" s="1"/>
  <c r="AG119" i="7"/>
  <c r="AS119" i="7" s="1"/>
  <c r="AC119" i="7"/>
  <c r="AA119" i="7"/>
  <c r="AM119" i="7" s="1"/>
  <c r="AD119" i="7"/>
  <c r="AP119" i="7" s="1"/>
  <c r="AF119" i="7"/>
  <c r="AR119" i="7" s="1"/>
  <c r="AI119" i="7"/>
  <c r="AA125" i="7"/>
  <c r="AM125" i="7" s="1"/>
  <c r="AD125" i="7"/>
  <c r="AP125" i="7" s="1"/>
  <c r="AF125" i="7"/>
  <c r="AR125" i="7" s="1"/>
  <c r="AC125" i="7"/>
  <c r="AB125" i="7"/>
  <c r="AN125" i="7" s="1"/>
  <c r="AE125" i="7"/>
  <c r="AQ125" i="7" s="1"/>
  <c r="AG125" i="7"/>
  <c r="AS125" i="7" s="1"/>
  <c r="AI125" i="7"/>
  <c r="AC185" i="7"/>
  <c r="AA185" i="7"/>
  <c r="AM185" i="7" s="1"/>
  <c r="AD185" i="7"/>
  <c r="AP185" i="7" s="1"/>
  <c r="AF185" i="7"/>
  <c r="AR185" i="7" s="1"/>
  <c r="AB185" i="7"/>
  <c r="AN185" i="7" s="1"/>
  <c r="AE185" i="7"/>
  <c r="AQ185" i="7" s="1"/>
  <c r="AG185" i="7"/>
  <c r="AS185" i="7" s="1"/>
  <c r="AI185" i="7"/>
  <c r="AA69" i="7"/>
  <c r="AM69" i="7" s="1"/>
  <c r="AD69" i="7"/>
  <c r="AP69" i="7" s="1"/>
  <c r="AF69" i="7"/>
  <c r="AR69" i="7" s="1"/>
  <c r="AC69" i="7"/>
  <c r="AB69" i="7"/>
  <c r="AN69" i="7" s="1"/>
  <c r="AE69" i="7"/>
  <c r="AQ69" i="7" s="1"/>
  <c r="AG69" i="7"/>
  <c r="AS69" i="7" s="1"/>
  <c r="AI69" i="7"/>
  <c r="AC131" i="7"/>
  <c r="AA131" i="7"/>
  <c r="AM131" i="7" s="1"/>
  <c r="AD131" i="7"/>
  <c r="AP131" i="7" s="1"/>
  <c r="AF131" i="7"/>
  <c r="AR131" i="7" s="1"/>
  <c r="AB131" i="7"/>
  <c r="AN131" i="7" s="1"/>
  <c r="AE131" i="7"/>
  <c r="AQ131" i="7" s="1"/>
  <c r="AG131" i="7"/>
  <c r="AS131" i="7" s="1"/>
  <c r="AI131" i="7"/>
  <c r="AC141" i="7"/>
  <c r="AA141" i="7"/>
  <c r="AM141" i="7" s="1"/>
  <c r="AD141" i="7"/>
  <c r="AP141" i="7" s="1"/>
  <c r="AF141" i="7"/>
  <c r="AR141" i="7" s="1"/>
  <c r="AB141" i="7"/>
  <c r="AN141" i="7" s="1"/>
  <c r="AE141" i="7"/>
  <c r="AQ141" i="7" s="1"/>
  <c r="AG141" i="7"/>
  <c r="AS141" i="7" s="1"/>
  <c r="AI141" i="7"/>
  <c r="AC145" i="7"/>
  <c r="AA145" i="7"/>
  <c r="AM145" i="7" s="1"/>
  <c r="AD145" i="7"/>
  <c r="AP145" i="7" s="1"/>
  <c r="AF145" i="7"/>
  <c r="AR145" i="7" s="1"/>
  <c r="AB145" i="7"/>
  <c r="AN145" i="7" s="1"/>
  <c r="AE145" i="7"/>
  <c r="AQ145" i="7" s="1"/>
  <c r="AG145" i="7"/>
  <c r="AS145" i="7" s="1"/>
  <c r="AI145" i="7"/>
  <c r="AC151" i="7"/>
  <c r="AA151" i="7"/>
  <c r="AM151" i="7" s="1"/>
  <c r="AD151" i="7"/>
  <c r="AP151" i="7" s="1"/>
  <c r="AF151" i="7"/>
  <c r="AR151" i="7" s="1"/>
  <c r="AB151" i="7"/>
  <c r="AN151" i="7" s="1"/>
  <c r="AE151" i="7"/>
  <c r="AQ151" i="7" s="1"/>
  <c r="AG151" i="7"/>
  <c r="AS151" i="7" s="1"/>
  <c r="AI151" i="7"/>
  <c r="AC165" i="7"/>
  <c r="AA165" i="7"/>
  <c r="AM165" i="7" s="1"/>
  <c r="AD165" i="7"/>
  <c r="AP165" i="7" s="1"/>
  <c r="AF165" i="7"/>
  <c r="AR165" i="7" s="1"/>
  <c r="AB165" i="7"/>
  <c r="AN165" i="7" s="1"/>
  <c r="AE165" i="7"/>
  <c r="AQ165" i="7" s="1"/>
  <c r="AG165" i="7"/>
  <c r="AS165" i="7" s="1"/>
  <c r="AI165" i="7"/>
  <c r="AC173" i="7"/>
  <c r="AA173" i="7"/>
  <c r="AM173" i="7" s="1"/>
  <c r="AD173" i="7"/>
  <c r="AP173" i="7" s="1"/>
  <c r="AF173" i="7"/>
  <c r="AR173" i="7" s="1"/>
  <c r="AB173" i="7"/>
  <c r="AN173" i="7" s="1"/>
  <c r="AE173" i="7"/>
  <c r="AQ173" i="7" s="1"/>
  <c r="AG173" i="7"/>
  <c r="AS173" i="7" s="1"/>
  <c r="AI173" i="7"/>
  <c r="AC181" i="7"/>
  <c r="AA181" i="7"/>
  <c r="AM181" i="7" s="1"/>
  <c r="AD181" i="7"/>
  <c r="AP181" i="7" s="1"/>
  <c r="AF181" i="7"/>
  <c r="AR181" i="7" s="1"/>
  <c r="AB181" i="7"/>
  <c r="AN181" i="7" s="1"/>
  <c r="AE181" i="7"/>
  <c r="AQ181" i="7" s="1"/>
  <c r="AG181" i="7"/>
  <c r="AS181" i="7" s="1"/>
  <c r="AI181" i="7"/>
  <c r="AC159" i="7"/>
  <c r="AA159" i="7"/>
  <c r="AM159" i="7" s="1"/>
  <c r="AD159" i="7"/>
  <c r="AP159" i="7" s="1"/>
  <c r="AF159" i="7"/>
  <c r="AR159" i="7" s="1"/>
  <c r="AB159" i="7"/>
  <c r="AN159" i="7" s="1"/>
  <c r="AE159" i="7"/>
  <c r="AQ159" i="7" s="1"/>
  <c r="AG159" i="7"/>
  <c r="AS159" i="7" s="1"/>
  <c r="AI159" i="7"/>
  <c r="AC175" i="7"/>
  <c r="AA175" i="7"/>
  <c r="AM175" i="7" s="1"/>
  <c r="AD175" i="7"/>
  <c r="AP175" i="7" s="1"/>
  <c r="AF175" i="7"/>
  <c r="AR175" i="7" s="1"/>
  <c r="AB175" i="7"/>
  <c r="AN175" i="7" s="1"/>
  <c r="AE175" i="7"/>
  <c r="AQ175" i="7" s="1"/>
  <c r="AG175" i="7"/>
  <c r="AS175" i="7" s="1"/>
  <c r="AI175" i="7"/>
  <c r="AC191" i="7"/>
  <c r="AB191" i="7"/>
  <c r="AN191" i="7" s="1"/>
  <c r="AE191" i="7"/>
  <c r="AQ191" i="7" s="1"/>
  <c r="AG191" i="7"/>
  <c r="AS191" i="7" s="1"/>
  <c r="AA191" i="7"/>
  <c r="AM191" i="7" s="1"/>
  <c r="AD191" i="7"/>
  <c r="AP191" i="7" s="1"/>
  <c r="AF191" i="7"/>
  <c r="AR191" i="7" s="1"/>
  <c r="AI191" i="7"/>
  <c r="AC199" i="7"/>
  <c r="AB199" i="7"/>
  <c r="AE199" i="7"/>
  <c r="AG199" i="7"/>
  <c r="AA199" i="7"/>
  <c r="AD199" i="7"/>
  <c r="AF199" i="7"/>
  <c r="AI199" i="7"/>
  <c r="AC37" i="7"/>
  <c r="AB37" i="7"/>
  <c r="AE37" i="7"/>
  <c r="AG37" i="7"/>
  <c r="AA37" i="7"/>
  <c r="AD37" i="7"/>
  <c r="AF37" i="7"/>
  <c r="AI37" i="7"/>
  <c r="AC41" i="7"/>
  <c r="AB41" i="7"/>
  <c r="AN41" i="7" s="1"/>
  <c r="AE41" i="7"/>
  <c r="AQ41" i="7" s="1"/>
  <c r="AG41" i="7"/>
  <c r="AS41" i="7" s="1"/>
  <c r="AA41" i="7"/>
  <c r="AM41" i="7" s="1"/>
  <c r="AD41" i="7"/>
  <c r="AP41" i="7" s="1"/>
  <c r="AF41" i="7"/>
  <c r="AR41" i="7" s="1"/>
  <c r="AI41" i="7"/>
  <c r="T51" i="7"/>
  <c r="V51" i="7"/>
  <c r="X51" i="7"/>
  <c r="Z51" i="7"/>
  <c r="U51" i="7"/>
  <c r="W51" i="7"/>
  <c r="Y51" i="7"/>
  <c r="AC101" i="7"/>
  <c r="AA101" i="7"/>
  <c r="AM101" i="7" s="1"/>
  <c r="AD101" i="7"/>
  <c r="AP101" i="7" s="1"/>
  <c r="AF101" i="7"/>
  <c r="AR101" i="7" s="1"/>
  <c r="AB101" i="7"/>
  <c r="AN101" i="7" s="1"/>
  <c r="AE101" i="7"/>
  <c r="AQ101" i="7" s="1"/>
  <c r="AG101" i="7"/>
  <c r="AS101" i="7" s="1"/>
  <c r="AI101" i="7"/>
  <c r="AC133" i="7"/>
  <c r="AA133" i="7"/>
  <c r="AM133" i="7" s="1"/>
  <c r="AD133" i="7"/>
  <c r="AP133" i="7" s="1"/>
  <c r="AF133" i="7"/>
  <c r="AR133" i="7" s="1"/>
  <c r="AB133" i="7"/>
  <c r="AN133" i="7" s="1"/>
  <c r="AE133" i="7"/>
  <c r="AQ133" i="7" s="1"/>
  <c r="AG133" i="7"/>
  <c r="AS133" i="7" s="1"/>
  <c r="AI133" i="7"/>
  <c r="AC147" i="7"/>
  <c r="AA147" i="7"/>
  <c r="AM147" i="7" s="1"/>
  <c r="AD147" i="7"/>
  <c r="AP147" i="7" s="1"/>
  <c r="AF147" i="7"/>
  <c r="AR147" i="7" s="1"/>
  <c r="AB147" i="7"/>
  <c r="AN147" i="7" s="1"/>
  <c r="AE147" i="7"/>
  <c r="AQ147" i="7" s="1"/>
  <c r="AG147" i="7"/>
  <c r="AS147" i="7" s="1"/>
  <c r="AI147" i="7"/>
  <c r="AC153" i="7"/>
  <c r="AA153" i="7"/>
  <c r="AD153" i="7"/>
  <c r="AF153" i="7"/>
  <c r="AB153" i="7"/>
  <c r="AE153" i="7"/>
  <c r="AG153" i="7"/>
  <c r="AI153" i="7"/>
  <c r="AC193" i="7"/>
  <c r="AB193" i="7"/>
  <c r="AN193" i="7" s="1"/>
  <c r="AE193" i="7"/>
  <c r="AQ193" i="7" s="1"/>
  <c r="AG193" i="7"/>
  <c r="AS193" i="7" s="1"/>
  <c r="AA193" i="7"/>
  <c r="AM193" i="7" s="1"/>
  <c r="AD193" i="7"/>
  <c r="AP193" i="7" s="1"/>
  <c r="AF193" i="7"/>
  <c r="AR193" i="7" s="1"/>
  <c r="AI193" i="7"/>
  <c r="AC99" i="7"/>
  <c r="AA99" i="7"/>
  <c r="AM99" i="7" s="1"/>
  <c r="AD99" i="7"/>
  <c r="AP99" i="7" s="1"/>
  <c r="AF99" i="7"/>
  <c r="AR99" i="7" s="1"/>
  <c r="AB99" i="7"/>
  <c r="AN99" i="7" s="1"/>
  <c r="AE99" i="7"/>
  <c r="AQ99" i="7" s="1"/>
  <c r="AG99" i="7"/>
  <c r="AS99" i="7" s="1"/>
  <c r="AI99" i="7"/>
  <c r="AC117" i="7"/>
  <c r="AA117" i="7"/>
  <c r="AM117" i="7" s="1"/>
  <c r="AD117" i="7"/>
  <c r="AP117" i="7" s="1"/>
  <c r="AF117" i="7"/>
  <c r="AR117" i="7" s="1"/>
  <c r="AB117" i="7"/>
  <c r="AN117" i="7" s="1"/>
  <c r="AE117" i="7"/>
  <c r="AQ117" i="7" s="1"/>
  <c r="AG117" i="7"/>
  <c r="AS117" i="7" s="1"/>
  <c r="AI117" i="7"/>
  <c r="AC171" i="7"/>
  <c r="AA171" i="7"/>
  <c r="AD171" i="7"/>
  <c r="AF171" i="7"/>
  <c r="AB171" i="7"/>
  <c r="AE171" i="7"/>
  <c r="AG171" i="7"/>
  <c r="AI171" i="7"/>
  <c r="AH51" i="7"/>
  <c r="AC53" i="7"/>
  <c r="AB53" i="7"/>
  <c r="AE53" i="7"/>
  <c r="AG53" i="7"/>
  <c r="AA53" i="7"/>
  <c r="AD53" i="7"/>
  <c r="AF53" i="7"/>
  <c r="AI53" i="7"/>
  <c r="AC127" i="7"/>
  <c r="AA127" i="7"/>
  <c r="AD127" i="7"/>
  <c r="AF127" i="7"/>
  <c r="AB127" i="7"/>
  <c r="AE127" i="7"/>
  <c r="AG127" i="7"/>
  <c r="AI127" i="7"/>
  <c r="AC143" i="7"/>
  <c r="AA143" i="7"/>
  <c r="AM143" i="7" s="1"/>
  <c r="AD143" i="7"/>
  <c r="AP143" i="7" s="1"/>
  <c r="AF143" i="7"/>
  <c r="AR143" i="7" s="1"/>
  <c r="AB143" i="7"/>
  <c r="AN143" i="7" s="1"/>
  <c r="AE143" i="7"/>
  <c r="AQ143" i="7" s="1"/>
  <c r="AG143" i="7"/>
  <c r="AS143" i="7" s="1"/>
  <c r="AI143" i="7"/>
  <c r="AC155" i="7"/>
  <c r="AA155" i="7"/>
  <c r="AM155" i="7" s="1"/>
  <c r="AD155" i="7"/>
  <c r="AP155" i="7" s="1"/>
  <c r="AF155" i="7"/>
  <c r="AR155" i="7" s="1"/>
  <c r="AB155" i="7"/>
  <c r="AN155" i="7" s="1"/>
  <c r="AE155" i="7"/>
  <c r="AQ155" i="7" s="1"/>
  <c r="AG155" i="7"/>
  <c r="AS155" i="7" s="1"/>
  <c r="AI155" i="7"/>
  <c r="AC65" i="7"/>
  <c r="AA65" i="7"/>
  <c r="AD65" i="7"/>
  <c r="AF65" i="7"/>
  <c r="AB65" i="7"/>
  <c r="AE65" i="7"/>
  <c r="AG65" i="7"/>
  <c r="AI65" i="7"/>
  <c r="AC91" i="7"/>
  <c r="AA91" i="7"/>
  <c r="AM91" i="7" s="1"/>
  <c r="AD91" i="7"/>
  <c r="AP91" i="7" s="1"/>
  <c r="AF91" i="7"/>
  <c r="AR91" i="7" s="1"/>
  <c r="AB91" i="7"/>
  <c r="AN91" i="7" s="1"/>
  <c r="AE91" i="7"/>
  <c r="AQ91" i="7" s="1"/>
  <c r="AG91" i="7"/>
  <c r="AS91" i="7" s="1"/>
  <c r="AI91" i="7"/>
  <c r="AC109" i="7"/>
  <c r="AO109" i="7" s="1"/>
  <c r="AA109" i="7"/>
  <c r="AM109" i="7" s="1"/>
  <c r="AD109" i="7"/>
  <c r="AP109" i="7" s="1"/>
  <c r="AF109" i="7"/>
  <c r="AR109" i="7" s="1"/>
  <c r="AB109" i="7"/>
  <c r="AN109" i="7" s="1"/>
  <c r="AE109" i="7"/>
  <c r="AQ109" i="7" s="1"/>
  <c r="AG109" i="7"/>
  <c r="AS109" i="7" s="1"/>
  <c r="AI109" i="7"/>
  <c r="AC115" i="7"/>
  <c r="AA115" i="7"/>
  <c r="AM115" i="7" s="1"/>
  <c r="AD115" i="7"/>
  <c r="AP115" i="7" s="1"/>
  <c r="AF115" i="7"/>
  <c r="AR115" i="7" s="1"/>
  <c r="AB115" i="7"/>
  <c r="AN115" i="7" s="1"/>
  <c r="AE115" i="7"/>
  <c r="AQ115" i="7" s="1"/>
  <c r="AG115" i="7"/>
  <c r="AS115" i="7" s="1"/>
  <c r="AI115" i="7"/>
  <c r="AC161" i="7"/>
  <c r="AO161" i="7" s="1"/>
  <c r="AA161" i="7"/>
  <c r="AM161" i="7" s="1"/>
  <c r="AD161" i="7"/>
  <c r="AP161" i="7" s="1"/>
  <c r="AF161" i="7"/>
  <c r="AR161" i="7" s="1"/>
  <c r="AB161" i="7"/>
  <c r="AN161" i="7" s="1"/>
  <c r="AE161" i="7"/>
  <c r="AQ161" i="7" s="1"/>
  <c r="AG161" i="7"/>
  <c r="AS161" i="7" s="1"/>
  <c r="AI161" i="7"/>
  <c r="AC19" i="7"/>
  <c r="AB19" i="7"/>
  <c r="AE19" i="7"/>
  <c r="AG19" i="7"/>
  <c r="AD19" i="7"/>
  <c r="AA19" i="7"/>
  <c r="AF19" i="7"/>
  <c r="AI19" i="7"/>
  <c r="AS201" i="7"/>
  <c r="AQ201" i="7"/>
  <c r="AM201" i="7"/>
  <c r="AR201" i="7"/>
  <c r="AP201" i="7"/>
  <c r="AN201" i="7"/>
  <c r="AR9" i="7"/>
  <c r="AO9" i="7"/>
  <c r="AS9" i="7"/>
  <c r="AM9" i="7"/>
  <c r="AQ9" i="7"/>
  <c r="AP9" i="7"/>
  <c r="AN9" i="7"/>
  <c r="AP189" i="7"/>
  <c r="AQ189" i="7"/>
  <c r="AR189" i="7"/>
  <c r="AN189" i="7"/>
  <c r="AS189" i="7"/>
  <c r="AM189" i="7"/>
  <c r="AS7" i="7"/>
  <c r="AR7" i="7"/>
  <c r="AN7" i="7"/>
  <c r="AP7" i="7"/>
  <c r="AM7" i="7"/>
  <c r="AQ7" i="7"/>
  <c r="AS11" i="7"/>
  <c r="AR11" i="7"/>
  <c r="AM11" i="7"/>
  <c r="AQ11" i="7"/>
  <c r="AP11" i="7"/>
  <c r="AN11" i="7"/>
  <c r="AS39" i="7"/>
  <c r="AR39" i="7"/>
  <c r="AM39" i="7"/>
  <c r="AQ39" i="7"/>
  <c r="AP39" i="7"/>
  <c r="AN39" i="7"/>
  <c r="AS103" i="7"/>
  <c r="AR103" i="7"/>
  <c r="AP103" i="7"/>
  <c r="AN103" i="7"/>
  <c r="AM103" i="7"/>
  <c r="AQ103" i="7"/>
  <c r="C17" i="5"/>
  <c r="C18" i="5"/>
  <c r="C19" i="5"/>
  <c r="C20" i="5"/>
  <c r="C21" i="5"/>
  <c r="C22" i="5"/>
  <c r="C16" i="5"/>
  <c r="C10" i="5"/>
  <c r="C11" i="5"/>
  <c r="C12" i="5"/>
  <c r="C13" i="5"/>
  <c r="C14" i="5"/>
  <c r="C15" i="5"/>
  <c r="C9" i="5"/>
  <c r="C3" i="5"/>
  <c r="C4" i="5"/>
  <c r="C5" i="5"/>
  <c r="C6" i="5"/>
  <c r="C7" i="5"/>
  <c r="C8" i="5"/>
  <c r="C2" i="5"/>
  <c r="F28" i="5"/>
  <c r="F21" i="5"/>
  <c r="F14" i="5"/>
  <c r="F7" i="5"/>
  <c r="F27" i="5"/>
  <c r="F20" i="5"/>
  <c r="F13" i="5"/>
  <c r="F6" i="5"/>
  <c r="F25" i="5"/>
  <c r="F24" i="5"/>
  <c r="F23" i="5"/>
  <c r="F18" i="5"/>
  <c r="F17" i="5"/>
  <c r="F16" i="5"/>
  <c r="F11" i="5"/>
  <c r="F10" i="5"/>
  <c r="F9" i="5"/>
  <c r="F4" i="5"/>
  <c r="F3" i="5"/>
  <c r="F2" i="5"/>
  <c r="F19" i="5"/>
  <c r="D23" i="5"/>
  <c r="E27" i="5" s="1"/>
  <c r="D16" i="5"/>
  <c r="E22" i="5" s="1"/>
  <c r="D9" i="5"/>
  <c r="E11" i="5" s="1"/>
  <c r="D2" i="5"/>
  <c r="T21" i="22" l="1"/>
  <c r="CF9" i="22"/>
  <c r="Q9" i="22"/>
  <c r="AN25" i="22"/>
  <c r="AW25" i="22" s="1"/>
  <c r="AL25" i="22"/>
  <c r="AU25" i="22" s="1"/>
  <c r="AK25" i="22"/>
  <c r="AO25" i="22"/>
  <c r="AX25" i="22" s="1"/>
  <c r="AJ25" i="22"/>
  <c r="AS25" i="22" s="1"/>
  <c r="AM25" i="22"/>
  <c r="AV25" i="22" s="1"/>
  <c r="T15" i="22"/>
  <c r="Q15" i="22"/>
  <c r="CF24" i="22"/>
  <c r="T20" i="22"/>
  <c r="Q20" i="22" s="1"/>
  <c r="T23" i="22"/>
  <c r="Q23" i="22" s="1"/>
  <c r="AN12" i="22"/>
  <c r="AW12" i="22" s="1"/>
  <c r="AJ12" i="22"/>
  <c r="AS12" i="22" s="1"/>
  <c r="AK12" i="22"/>
  <c r="AL12" i="22"/>
  <c r="AU12" i="22" s="1"/>
  <c r="AM12" i="22"/>
  <c r="AV12" i="22" s="1"/>
  <c r="AO12" i="22"/>
  <c r="AX12" i="22" s="1"/>
  <c r="Q14" i="22"/>
  <c r="AE14" i="22"/>
  <c r="Z14" i="22"/>
  <c r="Y14" i="22"/>
  <c r="AD14" i="22"/>
  <c r="AB14" i="22"/>
  <c r="AG14" i="22"/>
  <c r="BI14" i="22"/>
  <c r="V14" i="22"/>
  <c r="X14" i="22"/>
  <c r="AH14" i="22"/>
  <c r="W14" i="22"/>
  <c r="AT14" i="22" s="1"/>
  <c r="BU14" i="22"/>
  <c r="AC14" i="22"/>
  <c r="U14" i="22"/>
  <c r="AR14" i="22" s="1"/>
  <c r="AF14" i="22"/>
  <c r="AA14" i="22"/>
  <c r="T22" i="22"/>
  <c r="Q22" i="22" s="1"/>
  <c r="AN17" i="22"/>
  <c r="AW17" i="22" s="1"/>
  <c r="AJ17" i="22"/>
  <c r="AS17" i="22" s="1"/>
  <c r="AL17" i="22"/>
  <c r="AU17" i="22" s="1"/>
  <c r="AO17" i="22"/>
  <c r="AX17" i="22" s="1"/>
  <c r="AK17" i="22"/>
  <c r="AM17" i="22"/>
  <c r="AV17" i="22" s="1"/>
  <c r="AN29" i="22"/>
  <c r="AW29" i="22" s="1"/>
  <c r="AO29" i="22"/>
  <c r="AX29" i="22" s="1"/>
  <c r="AJ29" i="22"/>
  <c r="AS29" i="22" s="1"/>
  <c r="AK29" i="22"/>
  <c r="AL29" i="22"/>
  <c r="AU29" i="22" s="1"/>
  <c r="AM29" i="22"/>
  <c r="AV29" i="22" s="1"/>
  <c r="AJ24" i="22"/>
  <c r="AS24" i="22" s="1"/>
  <c r="AM24" i="22"/>
  <c r="AV24" i="22" s="1"/>
  <c r="AK24" i="22"/>
  <c r="AO24" i="22"/>
  <c r="AX24" i="22" s="1"/>
  <c r="AN24" i="22"/>
  <c r="AW24" i="22" s="1"/>
  <c r="AL24" i="22"/>
  <c r="AU24" i="22" s="1"/>
  <c r="S31" i="22"/>
  <c r="BM205" i="7"/>
  <c r="BQ205" i="7"/>
  <c r="R14" i="34"/>
  <c r="CE14" i="34"/>
  <c r="BN42" i="34"/>
  <c r="R17" i="34"/>
  <c r="AP17" i="34" s="1"/>
  <c r="AX17" i="34" s="1"/>
  <c r="CE17" i="34"/>
  <c r="BK24" i="34"/>
  <c r="T19" i="34"/>
  <c r="CF27" i="22"/>
  <c r="CF10" i="22"/>
  <c r="U127" i="7"/>
  <c r="AN127" i="7" s="1"/>
  <c r="BF127" i="7"/>
  <c r="BF205" i="7" s="1"/>
  <c r="AN6" i="34"/>
  <c r="AO6" i="34"/>
  <c r="AM6" i="34"/>
  <c r="AP6" i="34"/>
  <c r="BU6" i="34"/>
  <c r="AK6" i="34"/>
  <c r="AL6" i="34"/>
  <c r="AI7" i="34"/>
  <c r="AF7" i="34"/>
  <c r="Z7" i="34"/>
  <c r="AH7" i="34"/>
  <c r="AB7" i="34"/>
  <c r="Y7" i="34"/>
  <c r="AC7" i="34"/>
  <c r="AG7" i="34"/>
  <c r="X7" i="34"/>
  <c r="V7" i="34"/>
  <c r="AD7" i="34"/>
  <c r="W7" i="34"/>
  <c r="AE7" i="34"/>
  <c r="AA7" i="34"/>
  <c r="AH10" i="34"/>
  <c r="AD10" i="34"/>
  <c r="Z10" i="34"/>
  <c r="V10" i="34"/>
  <c r="AC10" i="34"/>
  <c r="AA10" i="34"/>
  <c r="AI10" i="34"/>
  <c r="AF10" i="34"/>
  <c r="AB10" i="34"/>
  <c r="X10" i="34"/>
  <c r="Y10" i="34"/>
  <c r="AG10" i="34"/>
  <c r="AE10" i="34"/>
  <c r="W10" i="34"/>
  <c r="AP5" i="34"/>
  <c r="AL5" i="34"/>
  <c r="BU5" i="34"/>
  <c r="AO5" i="34"/>
  <c r="AM5" i="34"/>
  <c r="AK5" i="34"/>
  <c r="AN5" i="34"/>
  <c r="AH8" i="34"/>
  <c r="AD8" i="34"/>
  <c r="Z8" i="34"/>
  <c r="V8" i="34"/>
  <c r="AC8" i="34"/>
  <c r="AA8" i="34"/>
  <c r="AI8" i="34"/>
  <c r="AF8" i="34"/>
  <c r="AB8" i="34"/>
  <c r="X8" i="34"/>
  <c r="Y8" i="34"/>
  <c r="AG8" i="34"/>
  <c r="AE8" i="34"/>
  <c r="W8" i="34"/>
  <c r="CF30" i="22"/>
  <c r="CE16" i="34"/>
  <c r="CE18" i="34"/>
  <c r="BV9" i="22"/>
  <c r="AM9" i="22"/>
  <c r="AV9" i="22" s="1"/>
  <c r="AJ9" i="22"/>
  <c r="AS9" i="22" s="1"/>
  <c r="AK9" i="22"/>
  <c r="AL9" i="22"/>
  <c r="AU9" i="22" s="1"/>
  <c r="AN9" i="22"/>
  <c r="AW9" i="22" s="1"/>
  <c r="AO9" i="22"/>
  <c r="AX9" i="22" s="1"/>
  <c r="CF6" i="22"/>
  <c r="AI6" i="34"/>
  <c r="AE6" i="34"/>
  <c r="AA6" i="34"/>
  <c r="AF6" i="34"/>
  <c r="AB6" i="34"/>
  <c r="X6" i="34"/>
  <c r="AT6" i="34" s="1"/>
  <c r="Y6" i="34"/>
  <c r="AG6" i="34"/>
  <c r="W6" i="34"/>
  <c r="AH6" i="34"/>
  <c r="Z6" i="34"/>
  <c r="AC6" i="34"/>
  <c r="AD6" i="34"/>
  <c r="V6" i="34"/>
  <c r="R7" i="34"/>
  <c r="R10" i="34"/>
  <c r="AG5" i="34"/>
  <c r="Y5" i="34"/>
  <c r="W5" i="34"/>
  <c r="AE5" i="34"/>
  <c r="Z5" i="34"/>
  <c r="AD5" i="34"/>
  <c r="AH5" i="34"/>
  <c r="AC5" i="34"/>
  <c r="AA5" i="34"/>
  <c r="AI5" i="34"/>
  <c r="AB5" i="34"/>
  <c r="X5" i="34"/>
  <c r="AF5" i="34"/>
  <c r="BM38" i="34"/>
  <c r="R8" i="34"/>
  <c r="AM11" i="22"/>
  <c r="AV11" i="22" s="1"/>
  <c r="AL11" i="22"/>
  <c r="AU11" i="22" s="1"/>
  <c r="AK11" i="22"/>
  <c r="BV11" i="22"/>
  <c r="AJ11" i="22"/>
  <c r="AS11" i="22" s="1"/>
  <c r="AN11" i="22"/>
  <c r="AW11" i="22" s="1"/>
  <c r="AO11" i="22"/>
  <c r="AX11" i="22" s="1"/>
  <c r="AM15" i="34"/>
  <c r="AU15" i="34" s="1"/>
  <c r="AN15" i="34"/>
  <c r="AV15" i="34" s="1"/>
  <c r="AP15" i="34"/>
  <c r="AX15" i="34" s="1"/>
  <c r="AK15" i="34"/>
  <c r="AS15" i="34" s="1"/>
  <c r="AO15" i="34"/>
  <c r="AW15" i="34" s="1"/>
  <c r="AL15" i="34"/>
  <c r="CF5" i="22"/>
  <c r="Q5" i="22"/>
  <c r="CF28" i="22"/>
  <c r="AH127" i="7"/>
  <c r="O127" i="7"/>
  <c r="Z127" i="7"/>
  <c r="AS127" i="7" s="1"/>
  <c r="T127" i="7"/>
  <c r="AM127" i="7" s="1"/>
  <c r="Y127" i="7"/>
  <c r="AR127" i="7" s="1"/>
  <c r="X127" i="7"/>
  <c r="AQ127" i="7" s="1"/>
  <c r="W127" i="7"/>
  <c r="AP127" i="7" s="1"/>
  <c r="V127" i="7"/>
  <c r="AM13" i="22"/>
  <c r="AV13" i="22" s="1"/>
  <c r="CF13" i="22"/>
  <c r="CF18" i="22"/>
  <c r="AM19" i="22"/>
  <c r="AV19" i="22" s="1"/>
  <c r="CF19" i="22"/>
  <c r="BV7" i="22"/>
  <c r="CF7" i="22"/>
  <c r="BV13" i="22"/>
  <c r="CF20" i="22"/>
  <c r="BV20" i="22"/>
  <c r="CF23" i="22"/>
  <c r="BV23" i="22"/>
  <c r="CF26" i="22"/>
  <c r="BZ26" i="22"/>
  <c r="CF16" i="22"/>
  <c r="CF14" i="22"/>
  <c r="BV14" i="22"/>
  <c r="BV8" i="22"/>
  <c r="CF8" i="22"/>
  <c r="Z79" i="7"/>
  <c r="T79" i="7"/>
  <c r="V79" i="7"/>
  <c r="V19" i="7"/>
  <c r="AO19" i="7" s="1"/>
  <c r="Z19" i="7"/>
  <c r="AS19" i="7" s="1"/>
  <c r="Y19" i="7"/>
  <c r="AR19" i="7" s="1"/>
  <c r="T19" i="7"/>
  <c r="AM19" i="7" s="1"/>
  <c r="X19" i="7"/>
  <c r="AQ19" i="7" s="1"/>
  <c r="U19" i="7"/>
  <c r="AN19" i="7" s="1"/>
  <c r="W19" i="7"/>
  <c r="AP19" i="7" s="1"/>
  <c r="W171" i="7"/>
  <c r="AP171" i="7" s="1"/>
  <c r="T171" i="7"/>
  <c r="AM171" i="7" s="1"/>
  <c r="X171" i="7"/>
  <c r="AQ171" i="7" s="1"/>
  <c r="U171" i="7"/>
  <c r="AN171" i="7" s="1"/>
  <c r="Y171" i="7"/>
  <c r="AR171" i="7" s="1"/>
  <c r="V171" i="7"/>
  <c r="AO171" i="7" s="1"/>
  <c r="Z171" i="7"/>
  <c r="AS171" i="7" s="1"/>
  <c r="U129" i="7"/>
  <c r="AN129" i="7" s="1"/>
  <c r="Y129" i="7"/>
  <c r="AR129" i="7" s="1"/>
  <c r="V129" i="7"/>
  <c r="Z129" i="7"/>
  <c r="AS129" i="7" s="1"/>
  <c r="W129" i="7"/>
  <c r="AP129" i="7" s="1"/>
  <c r="T129" i="7"/>
  <c r="AM129" i="7" s="1"/>
  <c r="X129" i="7"/>
  <c r="AQ129" i="7" s="1"/>
  <c r="T31" i="7"/>
  <c r="AM31" i="7" s="1"/>
  <c r="X31" i="7"/>
  <c r="AQ31" i="7" s="1"/>
  <c r="U31" i="7"/>
  <c r="AN31" i="7" s="1"/>
  <c r="W31" i="7"/>
  <c r="AP31" i="7" s="1"/>
  <c r="V31" i="7"/>
  <c r="Z31" i="7"/>
  <c r="AS31" i="7" s="1"/>
  <c r="Y31" i="7"/>
  <c r="AR31" i="7" s="1"/>
  <c r="V37" i="7"/>
  <c r="AO37" i="7" s="1"/>
  <c r="Z37" i="7"/>
  <c r="AS37" i="7" s="1"/>
  <c r="W37" i="7"/>
  <c r="AP37" i="7" s="1"/>
  <c r="T37" i="7"/>
  <c r="AM37" i="7" s="1"/>
  <c r="X37" i="7"/>
  <c r="AQ37" i="7" s="1"/>
  <c r="U37" i="7"/>
  <c r="AN37" i="7" s="1"/>
  <c r="Y37" i="7"/>
  <c r="AR37" i="7" s="1"/>
  <c r="AH37" i="7"/>
  <c r="O129" i="7"/>
  <c r="AH171" i="7"/>
  <c r="T43" i="7"/>
  <c r="AM43" i="7" s="1"/>
  <c r="X43" i="7"/>
  <c r="AQ43" i="7" s="1"/>
  <c r="U43" i="7"/>
  <c r="AN43" i="7" s="1"/>
  <c r="Y43" i="7"/>
  <c r="AR43" i="7" s="1"/>
  <c r="V43" i="7"/>
  <c r="Z43" i="7"/>
  <c r="AS43" i="7" s="1"/>
  <c r="W43" i="7"/>
  <c r="AP43" i="7" s="1"/>
  <c r="W153" i="7"/>
  <c r="AP153" i="7" s="1"/>
  <c r="T153" i="7"/>
  <c r="AM153" i="7" s="1"/>
  <c r="X153" i="7"/>
  <c r="AQ153" i="7" s="1"/>
  <c r="U153" i="7"/>
  <c r="AN153" i="7" s="1"/>
  <c r="Y153" i="7"/>
  <c r="AR153" i="7" s="1"/>
  <c r="V153" i="7"/>
  <c r="Z153" i="7"/>
  <c r="AS153" i="7" s="1"/>
  <c r="AH31" i="7"/>
  <c r="V13" i="7"/>
  <c r="Z13" i="7"/>
  <c r="AS13" i="7" s="1"/>
  <c r="U13" i="7"/>
  <c r="AN13" i="7" s="1"/>
  <c r="T13" i="7"/>
  <c r="AM13" i="7" s="1"/>
  <c r="X13" i="7"/>
  <c r="AQ13" i="7" s="1"/>
  <c r="W13" i="7"/>
  <c r="AP13" i="7" s="1"/>
  <c r="Y13" i="7"/>
  <c r="AR13" i="7" s="1"/>
  <c r="T199" i="7"/>
  <c r="AM199" i="7" s="1"/>
  <c r="X199" i="7"/>
  <c r="AQ199" i="7" s="1"/>
  <c r="U199" i="7"/>
  <c r="AN199" i="7" s="1"/>
  <c r="Y199" i="7"/>
  <c r="AR199" i="7" s="1"/>
  <c r="V199" i="7"/>
  <c r="Z199" i="7"/>
  <c r="AS199" i="7" s="1"/>
  <c r="W199" i="7"/>
  <c r="AP199" i="7" s="1"/>
  <c r="AH199" i="7"/>
  <c r="W177" i="7"/>
  <c r="AP177" i="7" s="1"/>
  <c r="T177" i="7"/>
  <c r="AM177" i="7" s="1"/>
  <c r="X177" i="7"/>
  <c r="AQ177" i="7" s="1"/>
  <c r="U177" i="7"/>
  <c r="AN177" i="7" s="1"/>
  <c r="Y177" i="7"/>
  <c r="AR177" i="7" s="1"/>
  <c r="V177" i="7"/>
  <c r="Z177" i="7"/>
  <c r="AS177" i="7" s="1"/>
  <c r="AT7" i="22"/>
  <c r="U9" i="27"/>
  <c r="BK22" i="27" s="1"/>
  <c r="BK18" i="27" s="1"/>
  <c r="AM6" i="27"/>
  <c r="U65" i="7"/>
  <c r="AN65" i="7" s="1"/>
  <c r="Y65" i="7"/>
  <c r="AR65" i="7" s="1"/>
  <c r="V65" i="7"/>
  <c r="Z65" i="7"/>
  <c r="AS65" i="7" s="1"/>
  <c r="W65" i="7"/>
  <c r="AP65" i="7" s="1"/>
  <c r="T65" i="7"/>
  <c r="AM65" i="7" s="1"/>
  <c r="X65" i="7"/>
  <c r="AQ65" i="7" s="1"/>
  <c r="AH65" i="7"/>
  <c r="AW6" i="27"/>
  <c r="AV6" i="27"/>
  <c r="AU6" i="27"/>
  <c r="W73" i="7"/>
  <c r="AP73" i="7" s="1"/>
  <c r="T73" i="7"/>
  <c r="AM73" i="7" s="1"/>
  <c r="X73" i="7"/>
  <c r="AQ73" i="7" s="1"/>
  <c r="U73" i="7"/>
  <c r="AN73" i="7" s="1"/>
  <c r="Y73" i="7"/>
  <c r="AR73" i="7" s="1"/>
  <c r="V73" i="7"/>
  <c r="Z73" i="7"/>
  <c r="AS73" i="7" s="1"/>
  <c r="AH73" i="7"/>
  <c r="AT6" i="27"/>
  <c r="AQ6" i="27"/>
  <c r="AR6" i="27"/>
  <c r="AA8" i="27"/>
  <c r="AB8" i="27"/>
  <c r="AT8" i="27" s="1"/>
  <c r="AT9" i="27" s="1"/>
  <c r="Y8" i="27"/>
  <c r="AQ8" i="27" s="1"/>
  <c r="AQ9" i="27" s="1"/>
  <c r="AE8" i="27"/>
  <c r="AW8" i="27" s="1"/>
  <c r="CJ8" i="27"/>
  <c r="CJ9" i="27" s="1"/>
  <c r="CM9" i="27" s="1"/>
  <c r="Z8" i="27"/>
  <c r="AR8" i="27" s="1"/>
  <c r="AR9" i="27" s="1"/>
  <c r="AD8" i="27"/>
  <c r="AV8" i="27" s="1"/>
  <c r="AC8" i="27"/>
  <c r="AU8" i="27" s="1"/>
  <c r="AM8" i="27"/>
  <c r="AM9" i="27" s="1"/>
  <c r="AI8" i="22"/>
  <c r="CB8" i="22"/>
  <c r="W169" i="7"/>
  <c r="AP169" i="7" s="1"/>
  <c r="T169" i="7"/>
  <c r="AM169" i="7" s="1"/>
  <c r="X169" i="7"/>
  <c r="AQ169" i="7" s="1"/>
  <c r="U169" i="7"/>
  <c r="AN169" i="7" s="1"/>
  <c r="Y169" i="7"/>
  <c r="AR169" i="7" s="1"/>
  <c r="V169" i="7"/>
  <c r="Z169" i="7"/>
  <c r="AS169" i="7" s="1"/>
  <c r="T49" i="7"/>
  <c r="AM49" i="7" s="1"/>
  <c r="X49" i="7"/>
  <c r="AQ49" i="7" s="1"/>
  <c r="U49" i="7"/>
  <c r="AN49" i="7" s="1"/>
  <c r="Y49" i="7"/>
  <c r="AR49" i="7" s="1"/>
  <c r="V49" i="7"/>
  <c r="Z49" i="7"/>
  <c r="AS49" i="7" s="1"/>
  <c r="W49" i="7"/>
  <c r="AP49" i="7" s="1"/>
  <c r="T53" i="7"/>
  <c r="AM53" i="7" s="1"/>
  <c r="X53" i="7"/>
  <c r="AQ53" i="7" s="1"/>
  <c r="U53" i="7"/>
  <c r="AN53" i="7" s="1"/>
  <c r="Y53" i="7"/>
  <c r="AR53" i="7" s="1"/>
  <c r="V53" i="7"/>
  <c r="AO53" i="7" s="1"/>
  <c r="Z53" i="7"/>
  <c r="AS53" i="7" s="1"/>
  <c r="W53" i="7"/>
  <c r="AP53" i="7" s="1"/>
  <c r="U105" i="7"/>
  <c r="AN105" i="7" s="1"/>
  <c r="Y105" i="7"/>
  <c r="AR105" i="7" s="1"/>
  <c r="V105" i="7"/>
  <c r="Z105" i="7"/>
  <c r="AS105" i="7" s="1"/>
  <c r="W105" i="7"/>
  <c r="AP105" i="7" s="1"/>
  <c r="T105" i="7"/>
  <c r="AM105" i="7" s="1"/>
  <c r="X105" i="7"/>
  <c r="AQ105" i="7" s="1"/>
  <c r="AH45" i="7"/>
  <c r="T45" i="7"/>
  <c r="V45" i="7"/>
  <c r="X45" i="7"/>
  <c r="Z45" i="7"/>
  <c r="U45" i="7"/>
  <c r="W45" i="7"/>
  <c r="Y45" i="7"/>
  <c r="G27" i="5"/>
  <c r="E25" i="5"/>
  <c r="G25" i="5" s="1"/>
  <c r="F29" i="5"/>
  <c r="F12" i="5"/>
  <c r="F26" i="5"/>
  <c r="F5" i="5"/>
  <c r="E7" i="5"/>
  <c r="G7" i="5" s="1"/>
  <c r="E21" i="5"/>
  <c r="G21" i="5" s="1"/>
  <c r="E5" i="5"/>
  <c r="E14" i="5"/>
  <c r="G14" i="5" s="1"/>
  <c r="E28" i="5"/>
  <c r="G28" i="5" s="1"/>
  <c r="E29" i="5"/>
  <c r="E6" i="5"/>
  <c r="G6" i="5" s="1"/>
  <c r="E13" i="5"/>
  <c r="G13" i="5" s="1"/>
  <c r="E20" i="5"/>
  <c r="G20" i="5" s="1"/>
  <c r="E26" i="5"/>
  <c r="E24" i="5"/>
  <c r="G24" i="5" s="1"/>
  <c r="E12" i="5"/>
  <c r="E10" i="5"/>
  <c r="G10" i="5" s="1"/>
  <c r="E18" i="5"/>
  <c r="G18" i="5" s="1"/>
  <c r="E9" i="5"/>
  <c r="G9" i="5" s="1"/>
  <c r="E23" i="5"/>
  <c r="G23" i="5" s="1"/>
  <c r="E15" i="5"/>
  <c r="E16" i="5"/>
  <c r="G16" i="5" s="1"/>
  <c r="E19" i="5"/>
  <c r="G19" i="5" s="1"/>
  <c r="E17" i="5"/>
  <c r="G17" i="5" s="1"/>
  <c r="E8" i="5"/>
  <c r="E4" i="5"/>
  <c r="G4" i="5" s="1"/>
  <c r="E2" i="5"/>
  <c r="G2" i="5" s="1"/>
  <c r="E3" i="5"/>
  <c r="G3" i="5" s="1"/>
  <c r="G11" i="5"/>
  <c r="BI23" i="22" l="1"/>
  <c r="BU23" i="22"/>
  <c r="AH23" i="22"/>
  <c r="W23" i="22"/>
  <c r="AT23" i="22" s="1"/>
  <c r="AE23" i="22"/>
  <c r="X23" i="22"/>
  <c r="AG23" i="22"/>
  <c r="Z23" i="22"/>
  <c r="AA23" i="22"/>
  <c r="AD23" i="22"/>
  <c r="AB23" i="22"/>
  <c r="AC23" i="22"/>
  <c r="Y23" i="22"/>
  <c r="U23" i="22"/>
  <c r="AR23" i="22" s="1"/>
  <c r="AF23" i="22"/>
  <c r="V23" i="22"/>
  <c r="AN15" i="22"/>
  <c r="AJ15" i="22"/>
  <c r="AO15" i="22"/>
  <c r="AL15" i="22"/>
  <c r="AK15" i="22"/>
  <c r="AM15" i="22"/>
  <c r="BI20" i="22"/>
  <c r="AH20" i="22"/>
  <c r="AA20" i="22"/>
  <c r="BU20" i="22"/>
  <c r="W20" i="22"/>
  <c r="AT20" i="22" s="1"/>
  <c r="AD20" i="22"/>
  <c r="Y20" i="22"/>
  <c r="AF20" i="22"/>
  <c r="AB20" i="22"/>
  <c r="AE20" i="22"/>
  <c r="X20" i="22"/>
  <c r="Z20" i="22"/>
  <c r="AC20" i="22"/>
  <c r="AG20" i="22"/>
  <c r="U20" i="22"/>
  <c r="AR20" i="22" s="1"/>
  <c r="V20" i="22"/>
  <c r="AG15" i="22"/>
  <c r="X15" i="22"/>
  <c r="AF15" i="22"/>
  <c r="AA15" i="22"/>
  <c r="Z15" i="22"/>
  <c r="AH15" i="22"/>
  <c r="U15" i="22"/>
  <c r="AR15" i="22" s="1"/>
  <c r="AC15" i="22"/>
  <c r="AB15" i="22"/>
  <c r="BI15" i="22"/>
  <c r="W15" i="22"/>
  <c r="AT15" i="22" s="1"/>
  <c r="AE15" i="22"/>
  <c r="V15" i="22"/>
  <c r="AD15" i="22"/>
  <c r="BW15" i="22"/>
  <c r="Y15" i="22"/>
  <c r="E38" i="22"/>
  <c r="G12" i="5"/>
  <c r="BU22" i="22"/>
  <c r="BI22" i="22"/>
  <c r="BU21" i="22"/>
  <c r="AA21" i="22"/>
  <c r="BI21" i="22"/>
  <c r="AH21" i="22"/>
  <c r="U21" i="22"/>
  <c r="AR21" i="22" s="1"/>
  <c r="W21" i="22"/>
  <c r="AT21" i="22" s="1"/>
  <c r="AF21" i="22"/>
  <c r="V21" i="22"/>
  <c r="Z21" i="22"/>
  <c r="AD21" i="22"/>
  <c r="AC21" i="22"/>
  <c r="AG21" i="22"/>
  <c r="AE21" i="22"/>
  <c r="X21" i="22"/>
  <c r="Y21" i="22"/>
  <c r="AB21" i="22"/>
  <c r="T31" i="22"/>
  <c r="Q21" i="22"/>
  <c r="AC19" i="34"/>
  <c r="AD19" i="34"/>
  <c r="Y19" i="34"/>
  <c r="BI16" i="22"/>
  <c r="BI31" i="22" s="1"/>
  <c r="AR6" i="34"/>
  <c r="V19" i="34"/>
  <c r="AB19" i="34"/>
  <c r="AA19" i="34"/>
  <c r="Z19" i="34"/>
  <c r="W19" i="34"/>
  <c r="X19" i="34"/>
  <c r="AK14" i="34"/>
  <c r="AS14" i="34" s="1"/>
  <c r="R19" i="34"/>
  <c r="AO17" i="34"/>
  <c r="AW17" i="34" s="1"/>
  <c r="AN14" i="34"/>
  <c r="AV14" i="34" s="1"/>
  <c r="AO14" i="34"/>
  <c r="AW14" i="34" s="1"/>
  <c r="AL14" i="34"/>
  <c r="AP14" i="34"/>
  <c r="AX14" i="34" s="1"/>
  <c r="AM14" i="34"/>
  <c r="AU14" i="34" s="1"/>
  <c r="BJ16" i="22"/>
  <c r="BJ31" i="22" s="1"/>
  <c r="AJ16" i="22"/>
  <c r="E36" i="22"/>
  <c r="AN17" i="34"/>
  <c r="AV17" i="34" s="1"/>
  <c r="AM17" i="34"/>
  <c r="AU17" i="34" s="1"/>
  <c r="AR7" i="34"/>
  <c r="AK17" i="34"/>
  <c r="AS17" i="34" s="1"/>
  <c r="AL17" i="34"/>
  <c r="AT8" i="34"/>
  <c r="AR8" i="34"/>
  <c r="AT10" i="34"/>
  <c r="AR10" i="34"/>
  <c r="BK20" i="27"/>
  <c r="BK19" i="27"/>
  <c r="BK17" i="27"/>
  <c r="BO42" i="34"/>
  <c r="BN45" i="34"/>
  <c r="AT7" i="34"/>
  <c r="AK22" i="22"/>
  <c r="AM22" i="22"/>
  <c r="AN22" i="22"/>
  <c r="AO22" i="22"/>
  <c r="AL22" i="22"/>
  <c r="AJ22" i="22"/>
  <c r="AH22" i="22"/>
  <c r="BW22" i="22"/>
  <c r="AA22" i="22"/>
  <c r="U22" i="22"/>
  <c r="AR22" i="22" s="1"/>
  <c r="AD22" i="22"/>
  <c r="AF22" i="22"/>
  <c r="V22" i="22"/>
  <c r="X22" i="22"/>
  <c r="Y22" i="22"/>
  <c r="AC22" i="22"/>
  <c r="W22" i="22"/>
  <c r="AT22" i="22" s="1"/>
  <c r="Z22" i="22"/>
  <c r="AB22" i="22"/>
  <c r="AE22" i="22"/>
  <c r="AG22" i="22"/>
  <c r="BU16" i="22"/>
  <c r="X16" i="22"/>
  <c r="AA16" i="22"/>
  <c r="AH16" i="22"/>
  <c r="AE16" i="22"/>
  <c r="V16" i="22"/>
  <c r="Y16" i="22"/>
  <c r="AB16" i="22"/>
  <c r="AC16" i="22"/>
  <c r="Z16" i="22"/>
  <c r="AD16" i="22"/>
  <c r="AF16" i="22"/>
  <c r="AG16" i="22"/>
  <c r="U16" i="22"/>
  <c r="W16" i="22"/>
  <c r="AT16" i="22" s="1"/>
  <c r="AQ8" i="13"/>
  <c r="AK5" i="22"/>
  <c r="AN5" i="22"/>
  <c r="AW5" i="22" s="1"/>
  <c r="AM5" i="22"/>
  <c r="AV5" i="22" s="1"/>
  <c r="AL5" i="22"/>
  <c r="AU5" i="22" s="1"/>
  <c r="AO5" i="22"/>
  <c r="AX5" i="22" s="1"/>
  <c r="AJ5" i="22"/>
  <c r="AS5" i="22" s="1"/>
  <c r="BO38" i="34"/>
  <c r="BM45" i="34"/>
  <c r="AT5" i="34"/>
  <c r="AR5" i="34"/>
  <c r="BU7" i="34"/>
  <c r="AL7" i="34"/>
  <c r="AP7" i="34"/>
  <c r="AX7" i="34" s="1"/>
  <c r="AM7" i="34"/>
  <c r="AU7" i="34" s="1"/>
  <c r="AO7" i="34"/>
  <c r="AW7" i="34" s="1"/>
  <c r="AK7" i="34"/>
  <c r="AS7" i="34" s="1"/>
  <c r="AN7" i="34"/>
  <c r="AV7" i="34" s="1"/>
  <c r="CE19" i="34"/>
  <c r="AV5" i="34"/>
  <c r="AX5" i="34"/>
  <c r="AU6" i="34"/>
  <c r="AW6" i="34"/>
  <c r="AJ28" i="22"/>
  <c r="AS28" i="22" s="1"/>
  <c r="AM28" i="22"/>
  <c r="AV28" i="22" s="1"/>
  <c r="AL28" i="22"/>
  <c r="AU28" i="22" s="1"/>
  <c r="AK28" i="22"/>
  <c r="AN28" i="22"/>
  <c r="AW28" i="22" s="1"/>
  <c r="AO28" i="22"/>
  <c r="AX28" i="22" s="1"/>
  <c r="BX31" i="22"/>
  <c r="BU8" i="34"/>
  <c r="AP8" i="34"/>
  <c r="AX8" i="34" s="1"/>
  <c r="AM8" i="34"/>
  <c r="AU8" i="34" s="1"/>
  <c r="AO8" i="34"/>
  <c r="AW8" i="34" s="1"/>
  <c r="AN8" i="34"/>
  <c r="AV8" i="34" s="1"/>
  <c r="AK8" i="34"/>
  <c r="AS8" i="34" s="1"/>
  <c r="AL8" i="34"/>
  <c r="AN10" i="34"/>
  <c r="AV10" i="34" s="1"/>
  <c r="BU10" i="34"/>
  <c r="AL10" i="34"/>
  <c r="AK10" i="34"/>
  <c r="AS10" i="34" s="1"/>
  <c r="AP10" i="34"/>
  <c r="AX10" i="34" s="1"/>
  <c r="AO10" i="34"/>
  <c r="AW10" i="34" s="1"/>
  <c r="AM10" i="34"/>
  <c r="AU10" i="34" s="1"/>
  <c r="AO6" i="22"/>
  <c r="AX6" i="22" s="1"/>
  <c r="AK6" i="22"/>
  <c r="AN6" i="22"/>
  <c r="AW6" i="22" s="1"/>
  <c r="AM6" i="22"/>
  <c r="AV6" i="22" s="1"/>
  <c r="AL6" i="22"/>
  <c r="AU6" i="22" s="1"/>
  <c r="AJ6" i="22"/>
  <c r="AS6" i="22" s="1"/>
  <c r="AN18" i="34"/>
  <c r="AV18" i="34" s="1"/>
  <c r="AO18" i="34"/>
  <c r="AW18" i="34" s="1"/>
  <c r="AL18" i="34"/>
  <c r="AM18" i="34"/>
  <c r="AU18" i="34" s="1"/>
  <c r="AP18" i="34"/>
  <c r="AX18" i="34" s="1"/>
  <c r="AK18" i="34"/>
  <c r="AS18" i="34" s="1"/>
  <c r="AN16" i="34"/>
  <c r="AV16" i="34" s="1"/>
  <c r="AL16" i="34"/>
  <c r="AP16" i="34"/>
  <c r="AX16" i="34" s="1"/>
  <c r="AK16" i="34"/>
  <c r="AS16" i="34" s="1"/>
  <c r="AM16" i="34"/>
  <c r="AU16" i="34" s="1"/>
  <c r="AO16" i="34"/>
  <c r="AW16" i="34" s="1"/>
  <c r="AO30" i="22"/>
  <c r="AX30" i="22" s="1"/>
  <c r="AM30" i="22"/>
  <c r="AV30" i="22" s="1"/>
  <c r="AN30" i="22"/>
  <c r="AW30" i="22" s="1"/>
  <c r="AL30" i="22"/>
  <c r="AU30" i="22" s="1"/>
  <c r="AK30" i="22"/>
  <c r="AJ30" i="22"/>
  <c r="AS30" i="22" s="1"/>
  <c r="AS5" i="34"/>
  <c r="AU5" i="34"/>
  <c r="AW5" i="34"/>
  <c r="AS6" i="34"/>
  <c r="AX6" i="34"/>
  <c r="AV6" i="34"/>
  <c r="AN18" i="22"/>
  <c r="AW18" i="22" s="1"/>
  <c r="BZ18" i="22"/>
  <c r="AK19" i="22"/>
  <c r="AL7" i="22"/>
  <c r="AU7" i="22" s="1"/>
  <c r="AO13" i="22"/>
  <c r="AX13" i="22" s="1"/>
  <c r="AM18" i="22"/>
  <c r="AV18" i="22" s="1"/>
  <c r="AN7" i="22"/>
  <c r="AW7" i="22" s="1"/>
  <c r="AO19" i="22"/>
  <c r="AX19" i="22" s="1"/>
  <c r="AL18" i="22"/>
  <c r="AU18" i="22" s="1"/>
  <c r="AO18" i="22"/>
  <c r="AX18" i="22" s="1"/>
  <c r="AL13" i="22"/>
  <c r="AU13" i="22" s="1"/>
  <c r="AK7" i="22"/>
  <c r="AN19" i="22"/>
  <c r="AW19" i="22" s="1"/>
  <c r="AJ19" i="22"/>
  <c r="AS19" i="22" s="1"/>
  <c r="AL19" i="22"/>
  <c r="AU19" i="22" s="1"/>
  <c r="AK18" i="22"/>
  <c r="AJ18" i="22"/>
  <c r="AS18" i="22" s="1"/>
  <c r="AK13" i="22"/>
  <c r="AJ13" i="22"/>
  <c r="AS13" i="22" s="1"/>
  <c r="AN13" i="22"/>
  <c r="AW13" i="22" s="1"/>
  <c r="AM7" i="22"/>
  <c r="AV7" i="22" s="1"/>
  <c r="AJ7" i="22"/>
  <c r="AS7" i="22" s="1"/>
  <c r="AO7" i="22"/>
  <c r="AX7" i="22" s="1"/>
  <c r="BU27" i="22"/>
  <c r="AG27" i="22"/>
  <c r="AC27" i="22"/>
  <c r="Y27" i="22"/>
  <c r="U27" i="22"/>
  <c r="AE27" i="22"/>
  <c r="AA27" i="22"/>
  <c r="W27" i="22"/>
  <c r="AH27" i="22"/>
  <c r="V27" i="22"/>
  <c r="Z27" i="22"/>
  <c r="AD27" i="22"/>
  <c r="X27" i="22"/>
  <c r="AB27" i="22"/>
  <c r="AF27" i="22"/>
  <c r="AQ10" i="13"/>
  <c r="BZ14" i="22"/>
  <c r="AL14" i="22"/>
  <c r="AU14" i="22" s="1"/>
  <c r="AM14" i="22"/>
  <c r="AV14" i="22" s="1"/>
  <c r="AN14" i="22"/>
  <c r="AW14" i="22" s="1"/>
  <c r="AO14" i="22"/>
  <c r="AX14" i="22" s="1"/>
  <c r="AK14" i="22"/>
  <c r="AJ14" i="22"/>
  <c r="AS14" i="22" s="1"/>
  <c r="BV16" i="22"/>
  <c r="AO26" i="22"/>
  <c r="AL26" i="22"/>
  <c r="AM26" i="22"/>
  <c r="AJ26" i="22"/>
  <c r="AK26" i="22"/>
  <c r="AN26" i="22"/>
  <c r="AG10" i="22"/>
  <c r="AC10" i="22"/>
  <c r="Y10" i="22"/>
  <c r="U10" i="22"/>
  <c r="AF10" i="22"/>
  <c r="AB10" i="22"/>
  <c r="X10" i="22"/>
  <c r="BU10" i="22"/>
  <c r="AE10" i="22"/>
  <c r="AA10" i="22"/>
  <c r="W10" i="22"/>
  <c r="AH10" i="22"/>
  <c r="AD10" i="22"/>
  <c r="Z10" i="22"/>
  <c r="V10" i="22"/>
  <c r="BK21" i="27"/>
  <c r="CF31" i="22"/>
  <c r="BU26" i="22"/>
  <c r="AG26" i="22"/>
  <c r="AE26" i="22"/>
  <c r="AC26" i="22"/>
  <c r="AA26" i="22"/>
  <c r="Y26" i="22"/>
  <c r="W26" i="22"/>
  <c r="U26" i="22"/>
  <c r="AF26" i="22"/>
  <c r="AB26" i="22"/>
  <c r="X26" i="22"/>
  <c r="AH26" i="22"/>
  <c r="AD26" i="22"/>
  <c r="Z26" i="22"/>
  <c r="V26" i="22"/>
  <c r="AL23" i="22"/>
  <c r="AU23" i="22" s="1"/>
  <c r="AJ23" i="22"/>
  <c r="AS23" i="22" s="1"/>
  <c r="AN23" i="22"/>
  <c r="AO23" i="22"/>
  <c r="AX23" i="22" s="1"/>
  <c r="AM23" i="22"/>
  <c r="AV23" i="22" s="1"/>
  <c r="AK23" i="22"/>
  <c r="AJ20" i="22"/>
  <c r="AS20" i="22" s="1"/>
  <c r="AN20" i="22"/>
  <c r="AW20" i="22" s="1"/>
  <c r="AM20" i="22"/>
  <c r="AV20" i="22" s="1"/>
  <c r="AK20" i="22"/>
  <c r="AO20" i="22"/>
  <c r="AX20" i="22" s="1"/>
  <c r="AL20" i="22"/>
  <c r="AU20" i="22" s="1"/>
  <c r="CB31" i="22"/>
  <c r="O205" i="7"/>
  <c r="AU9" i="27"/>
  <c r="AW9" i="27"/>
  <c r="AW10" i="27" s="1"/>
  <c r="AC8" i="22"/>
  <c r="AE8" i="22"/>
  <c r="AG8" i="22"/>
  <c r="AD8" i="22"/>
  <c r="AH8" i="22"/>
  <c r="AB8" i="22"/>
  <c r="AF8" i="22"/>
  <c r="AA8" i="22"/>
  <c r="BW8" i="22"/>
  <c r="W8" i="22"/>
  <c r="V8" i="22"/>
  <c r="Z8" i="22"/>
  <c r="U8" i="22"/>
  <c r="X8" i="22"/>
  <c r="Y8" i="22"/>
  <c r="AV9" i="27"/>
  <c r="AV10" i="27" s="1"/>
  <c r="AS9" i="27"/>
  <c r="AA9" i="27"/>
  <c r="AQ10" i="27"/>
  <c r="AS10" i="27"/>
  <c r="AC9" i="27"/>
  <c r="AD9" i="27"/>
  <c r="AE9" i="27"/>
  <c r="AU10" i="27"/>
  <c r="AR10" i="27"/>
  <c r="AT10" i="27"/>
  <c r="Z9" i="27"/>
  <c r="Y9" i="27"/>
  <c r="AB9" i="27"/>
  <c r="AQ9" i="13"/>
  <c r="BY31" i="22"/>
  <c r="F8" i="5"/>
  <c r="G8" i="5" s="1"/>
  <c r="G5" i="5"/>
  <c r="G26" i="5"/>
  <c r="G29" i="5"/>
  <c r="F15" i="5"/>
  <c r="G15" i="5" s="1"/>
  <c r="F22" i="5"/>
  <c r="G22" i="5" s="1"/>
  <c r="H2" i="5"/>
  <c r="H23" i="5"/>
  <c r="H9" i="5"/>
  <c r="H16" i="5"/>
  <c r="AW23" i="22" l="1"/>
  <c r="AM21" i="22"/>
  <c r="AV21" i="22" s="1"/>
  <c r="AK21" i="22"/>
  <c r="AN21" i="22"/>
  <c r="AW21" i="22" s="1"/>
  <c r="AO21" i="22"/>
  <c r="AX21" i="22" s="1"/>
  <c r="AJ21" i="22"/>
  <c r="AS21" i="22" s="1"/>
  <c r="AL21" i="22"/>
  <c r="AU21" i="22" s="1"/>
  <c r="AU15" i="22"/>
  <c r="AX15" i="22"/>
  <c r="AR10" i="22"/>
  <c r="AV15" i="22"/>
  <c r="AS15" i="22"/>
  <c r="AW15" i="22"/>
  <c r="AR27" i="22"/>
  <c r="BI32" i="22"/>
  <c r="AR16" i="22"/>
  <c r="AM19" i="34"/>
  <c r="AO19" i="34"/>
  <c r="AK16" i="22"/>
  <c r="AP19" i="34"/>
  <c r="AN19" i="34"/>
  <c r="AK19" i="34"/>
  <c r="AL19" i="34"/>
  <c r="Q31" i="22"/>
  <c r="AS16" i="22"/>
  <c r="AN16" i="22"/>
  <c r="AW16" i="22" s="1"/>
  <c r="AR26" i="22"/>
  <c r="AO16" i="22"/>
  <c r="AX16" i="22" s="1"/>
  <c r="E44" i="22"/>
  <c r="AS26" i="22"/>
  <c r="AL16" i="22"/>
  <c r="AM16" i="22"/>
  <c r="AV16" i="22" s="1"/>
  <c r="AS22" i="22"/>
  <c r="AR8" i="22"/>
  <c r="AU16" i="22"/>
  <c r="BU19" i="34"/>
  <c r="AV22" i="22"/>
  <c r="AW22" i="22"/>
  <c r="AX22" i="22"/>
  <c r="AU22" i="22"/>
  <c r="AQ5" i="13"/>
  <c r="BR43" i="34"/>
  <c r="BM31" i="34"/>
  <c r="E30" i="34"/>
  <c r="BR44" i="34" s="1"/>
  <c r="O19" i="34"/>
  <c r="BK29" i="34"/>
  <c r="D28" i="34" s="1"/>
  <c r="BO45" i="34"/>
  <c r="BZ31" i="22"/>
  <c r="BL41" i="22" s="1"/>
  <c r="AT26" i="22"/>
  <c r="AT27" i="22"/>
  <c r="AT10" i="22"/>
  <c r="AN27" i="22"/>
  <c r="AW27" i="22" s="1"/>
  <c r="AK27" i="22"/>
  <c r="AO27" i="22"/>
  <c r="AX27" i="22" s="1"/>
  <c r="AM27" i="22"/>
  <c r="AV27" i="22" s="1"/>
  <c r="AJ27" i="22"/>
  <c r="AS27" i="22" s="1"/>
  <c r="AL27" i="22"/>
  <c r="AU27" i="22" s="1"/>
  <c r="BV10" i="22"/>
  <c r="AK10" i="22"/>
  <c r="AO10" i="22"/>
  <c r="AX10" i="22" s="1"/>
  <c r="AJ10" i="22"/>
  <c r="AS10" i="22" s="1"/>
  <c r="AL10" i="22"/>
  <c r="AU10" i="22" s="1"/>
  <c r="AN10" i="22"/>
  <c r="AW10" i="22" s="1"/>
  <c r="AM10" i="22"/>
  <c r="AV10" i="22" s="1"/>
  <c r="AU26" i="22"/>
  <c r="AW26" i="22"/>
  <c r="AV26" i="22"/>
  <c r="AX26" i="22"/>
  <c r="BW31" i="22"/>
  <c r="BL38" i="22" s="1"/>
  <c r="AT8" i="22"/>
  <c r="AK8" i="22"/>
  <c r="AO8" i="22"/>
  <c r="AX8" i="22" s="1"/>
  <c r="AL8" i="22"/>
  <c r="AU8" i="22" s="1"/>
  <c r="AN8" i="22"/>
  <c r="AW8" i="22" s="1"/>
  <c r="AJ8" i="22"/>
  <c r="AS8" i="22" s="1"/>
  <c r="AM8" i="22"/>
  <c r="AV8" i="22" s="1"/>
  <c r="AQ7" i="13"/>
  <c r="BU31" i="22"/>
  <c r="BL36" i="22" s="1"/>
  <c r="AS31" i="22" l="1"/>
  <c r="AX31" i="22"/>
  <c r="AR31" i="22"/>
  <c r="AV31" i="22"/>
  <c r="AW31" i="22"/>
  <c r="AU31" i="22"/>
  <c r="AT31" i="22"/>
  <c r="AM10" i="35"/>
  <c r="D31" i="34"/>
  <c r="E23" i="34" s="1"/>
  <c r="BK25" i="34"/>
  <c r="BJ59" i="22"/>
  <c r="F41" i="22"/>
  <c r="F42" i="22"/>
  <c r="F43" i="22"/>
  <c r="F37" i="22"/>
  <c r="F39" i="22"/>
  <c r="F40" i="22"/>
  <c r="F38" i="22"/>
  <c r="F36" i="22"/>
  <c r="AM13" i="35"/>
  <c r="AN6" i="35" s="1"/>
  <c r="BO48" i="34"/>
  <c r="BP47" i="34"/>
  <c r="BP38" i="34"/>
  <c r="BP43" i="34"/>
  <c r="BQ43" i="34" s="1"/>
  <c r="BP39" i="34"/>
  <c r="BP41" i="34"/>
  <c r="BP37" i="34"/>
  <c r="BP40" i="34"/>
  <c r="BP44" i="34"/>
  <c r="BQ44" i="34" s="1"/>
  <c r="BP42" i="34"/>
  <c r="BK31" i="34"/>
  <c r="BV31" i="22"/>
  <c r="BL37" i="22" s="1"/>
  <c r="BM49" i="34" l="1"/>
  <c r="BN48" i="34" s="1"/>
  <c r="E28" i="34"/>
  <c r="BR42" i="34" s="1"/>
  <c r="E27" i="34"/>
  <c r="BR41" i="34" s="1"/>
  <c r="E25" i="34"/>
  <c r="BR39" i="34" s="1"/>
  <c r="E26" i="34"/>
  <c r="BR40" i="34" s="1"/>
  <c r="E24" i="34"/>
  <c r="BR38" i="34" s="1"/>
  <c r="BR37" i="34"/>
  <c r="AN5" i="35"/>
  <c r="AN8" i="35"/>
  <c r="AN10" i="35"/>
  <c r="AN12" i="35"/>
  <c r="AN7" i="35"/>
  <c r="AN9" i="35"/>
  <c r="AN11" i="35"/>
  <c r="BL24" i="34"/>
  <c r="BL27" i="34"/>
  <c r="BM27" i="34" s="1"/>
  <c r="BL28" i="34"/>
  <c r="BM28" i="34" s="1"/>
  <c r="BL30" i="34"/>
  <c r="BM30" i="34" s="1"/>
  <c r="BL26" i="34"/>
  <c r="BM26" i="34" s="1"/>
  <c r="BL29" i="34"/>
  <c r="BM29" i="34" s="1"/>
  <c r="BP45" i="34"/>
  <c r="BL25" i="34"/>
  <c r="BM25" i="34" s="1"/>
  <c r="BL43" i="22"/>
  <c r="BM37" i="22" s="1"/>
  <c r="BR45" i="34" l="1"/>
  <c r="BS39" i="34" s="1"/>
  <c r="E31" i="34"/>
  <c r="BQ41" i="34"/>
  <c r="BQ42" i="34"/>
  <c r="BQ38" i="34"/>
  <c r="BQ40" i="34"/>
  <c r="BQ39" i="34"/>
  <c r="BM38" i="22"/>
  <c r="BM40" i="22"/>
  <c r="BS40" i="34"/>
  <c r="BS38" i="34"/>
  <c r="BM24" i="34"/>
  <c r="BL31" i="34"/>
  <c r="BM41" i="22"/>
  <c r="BM39" i="22"/>
  <c r="BM42" i="22"/>
  <c r="BM36" i="22"/>
  <c r="AS75" i="7"/>
  <c r="AP75" i="7"/>
  <c r="AQ75" i="7"/>
  <c r="AN75" i="7"/>
  <c r="AM75" i="7"/>
  <c r="AR75" i="7"/>
  <c r="AO75" i="7"/>
  <c r="AS79" i="7"/>
  <c r="AM79" i="7"/>
  <c r="AN79" i="7"/>
  <c r="AP79" i="7"/>
  <c r="AQ79" i="7"/>
  <c r="AR79" i="7"/>
  <c r="AO79" i="7"/>
  <c r="AQ97" i="7"/>
  <c r="AR97" i="7"/>
  <c r="AS97" i="7"/>
  <c r="AN97" i="7"/>
  <c r="AM97" i="7"/>
  <c r="AP97" i="7"/>
  <c r="AM139" i="7"/>
  <c r="AR139" i="7"/>
  <c r="AP139" i="7"/>
  <c r="AQ139" i="7"/>
  <c r="AS139" i="7"/>
  <c r="AN139" i="7"/>
  <c r="AQ45" i="7"/>
  <c r="AN45" i="7"/>
  <c r="AS45" i="7"/>
  <c r="AR45" i="7"/>
  <c r="AM45" i="7"/>
  <c r="AP45" i="7"/>
  <c r="AS51" i="7"/>
  <c r="AP51" i="7"/>
  <c r="AM51" i="7"/>
  <c r="AQ51" i="7"/>
  <c r="AR51" i="7"/>
  <c r="AN51" i="7"/>
  <c r="AP71" i="7"/>
  <c r="AQ71" i="7"/>
  <c r="AR71" i="7"/>
  <c r="AS71" i="7"/>
  <c r="AM71" i="7"/>
  <c r="AN71" i="7"/>
  <c r="BS41" i="34" l="1"/>
  <c r="BS37" i="34" s="1"/>
  <c r="BS45" i="34" s="1"/>
  <c r="BQ37" i="34"/>
  <c r="BQ45" i="34" s="1"/>
  <c r="BM43" i="22"/>
  <c r="C231" i="7" l="1"/>
  <c r="B5" i="15" l="1"/>
  <c r="C5" i="15" s="1"/>
  <c r="AH13" i="10"/>
  <c r="C232" i="7" l="1"/>
  <c r="D4" i="17"/>
  <c r="L6" i="35"/>
  <c r="AH12" i="10"/>
  <c r="AI12" i="10" s="1"/>
  <c r="D5" i="17"/>
  <c r="D18" i="17" s="1"/>
  <c r="F10" i="37" s="1"/>
  <c r="F10" i="38" s="1"/>
  <c r="L7" i="35"/>
  <c r="N7" i="35" s="1"/>
  <c r="O7" i="35" s="1"/>
  <c r="D17" i="17" l="1"/>
  <c r="K10" i="37" s="1"/>
  <c r="K10" i="38" s="1"/>
  <c r="AB7" i="35"/>
  <c r="AI7" i="35" s="1"/>
  <c r="Z7" i="35"/>
  <c r="AG7" i="35" s="1"/>
  <c r="X7" i="35"/>
  <c r="AE7" i="35" s="1"/>
  <c r="AC7" i="35"/>
  <c r="AJ7" i="35" s="1"/>
  <c r="AA7" i="35"/>
  <c r="AH7" i="35" s="1"/>
  <c r="Y7" i="35"/>
  <c r="AF7" i="35" s="1"/>
  <c r="W7" i="35"/>
  <c r="AD7" i="35" s="1"/>
  <c r="N6" i="35"/>
  <c r="O6" i="35" s="1"/>
  <c r="L12" i="35"/>
  <c r="D10" i="17"/>
  <c r="D23" i="17" s="1"/>
  <c r="D11" i="17"/>
  <c r="D24" i="17" s="1"/>
  <c r="D6" i="17"/>
  <c r="D19" i="17" s="1"/>
  <c r="L8" i="35"/>
  <c r="D8" i="17"/>
  <c r="D21" i="17" s="1"/>
  <c r="L10" i="35"/>
  <c r="D9" i="17"/>
  <c r="D22" i="17" s="1"/>
  <c r="L11" i="35"/>
  <c r="N11" i="35" s="1"/>
  <c r="O11" i="35" s="1"/>
  <c r="D7" i="17"/>
  <c r="D20" i="17" s="1"/>
  <c r="L9" i="35"/>
  <c r="N9" i="35" s="1"/>
  <c r="O9" i="35" s="1"/>
  <c r="D13" i="17" l="1"/>
  <c r="D26" i="17"/>
  <c r="X9" i="35"/>
  <c r="AE9" i="35" s="1"/>
  <c r="Z9" i="35"/>
  <c r="AG9" i="35" s="1"/>
  <c r="AB9" i="35"/>
  <c r="AI9" i="35" s="1"/>
  <c r="W9" i="35"/>
  <c r="AD9" i="35" s="1"/>
  <c r="Y9" i="35"/>
  <c r="AF9" i="35" s="1"/>
  <c r="AA9" i="35"/>
  <c r="AH9" i="35" s="1"/>
  <c r="AC9" i="35"/>
  <c r="AJ9" i="35" s="1"/>
  <c r="N10" i="35"/>
  <c r="O10" i="35" s="1"/>
  <c r="N8" i="35"/>
  <c r="O8" i="35" s="1"/>
  <c r="AC6" i="35"/>
  <c r="AJ6" i="35" s="1"/>
  <c r="AA6" i="35"/>
  <c r="AH6" i="35" s="1"/>
  <c r="Y6" i="35"/>
  <c r="AF6" i="35" s="1"/>
  <c r="W6" i="35"/>
  <c r="AD6" i="35" s="1"/>
  <c r="AB6" i="35"/>
  <c r="AI6" i="35" s="1"/>
  <c r="Z6" i="35"/>
  <c r="AG6" i="35" s="1"/>
  <c r="X6" i="35"/>
  <c r="AE6" i="35" s="1"/>
  <c r="M6" i="35"/>
  <c r="L13" i="35"/>
  <c r="AN13" i="35"/>
  <c r="B3" i="15"/>
  <c r="C3" i="15" s="1"/>
  <c r="AF11" i="35" l="1"/>
  <c r="B9" i="15"/>
  <c r="C9" i="15" s="1"/>
  <c r="I9" i="17"/>
  <c r="W8" i="35"/>
  <c r="AD8" i="35" s="1"/>
  <c r="Y8" i="35"/>
  <c r="AF8" i="35" s="1"/>
  <c r="AA8" i="35"/>
  <c r="AH8" i="35" s="1"/>
  <c r="AC8" i="35"/>
  <c r="AJ8" i="35" s="1"/>
  <c r="X8" i="35"/>
  <c r="AE8" i="35" s="1"/>
  <c r="Z8" i="35"/>
  <c r="AG8" i="35" s="1"/>
  <c r="AB8" i="35"/>
  <c r="AI8" i="35" s="1"/>
  <c r="W10" i="35"/>
  <c r="AD10" i="35" s="1"/>
  <c r="Y10" i="35"/>
  <c r="AF10" i="35" s="1"/>
  <c r="AA10" i="35"/>
  <c r="AH10" i="35" s="1"/>
  <c r="AC10" i="35"/>
  <c r="AJ10" i="35" s="1"/>
  <c r="X10" i="35"/>
  <c r="AE10" i="35" s="1"/>
  <c r="Z10" i="35"/>
  <c r="AG10" i="35" s="1"/>
  <c r="AB10" i="35"/>
  <c r="AI10" i="35" s="1"/>
  <c r="M13" i="35"/>
  <c r="BK32" i="22"/>
  <c r="BK132" i="22" s="1"/>
  <c r="BT32" i="22"/>
  <c r="BT40" i="22" s="1"/>
  <c r="BP32" i="22"/>
  <c r="BT38" i="22" s="1"/>
  <c r="BO32" i="22"/>
  <c r="BO98" i="22" s="1"/>
  <c r="BO99" i="22" s="1"/>
  <c r="BQ32" i="22"/>
  <c r="BQ132" i="22" s="1"/>
  <c r="BQ133" i="22" s="1"/>
  <c r="BR32" i="22"/>
  <c r="BT39" i="22" s="1"/>
  <c r="BM32" i="22"/>
  <c r="BM98" i="22" s="1"/>
  <c r="BM99" i="22" s="1"/>
  <c r="BN32" i="22"/>
  <c r="BT37" i="22" s="1"/>
  <c r="BS32" i="22"/>
  <c r="BS132" i="22" s="1"/>
  <c r="BS133" i="22" s="1"/>
  <c r="BL32" i="22"/>
  <c r="BT36" i="22" s="1"/>
  <c r="AG13" i="35" l="1"/>
  <c r="AG23" i="35" s="1"/>
  <c r="AI13" i="35"/>
  <c r="H6" i="18" s="1"/>
  <c r="AH13" i="35"/>
  <c r="G6" i="18" s="1"/>
  <c r="AD13" i="35"/>
  <c r="AE13" i="35"/>
  <c r="AE23" i="35" s="1"/>
  <c r="AJ13" i="35"/>
  <c r="AJ23" i="35" s="1"/>
  <c r="I13" i="17"/>
  <c r="I22" i="17"/>
  <c r="C10" i="37" s="1"/>
  <c r="AF13" i="35"/>
  <c r="AF23" i="35" s="1"/>
  <c r="AI23" i="35"/>
  <c r="F6" i="18"/>
  <c r="I6" i="18"/>
  <c r="BS98" i="22"/>
  <c r="BS99" i="22" s="1"/>
  <c r="BQ98" i="22"/>
  <c r="BQ99" i="22" s="1"/>
  <c r="BM132" i="22"/>
  <c r="BM133" i="22" s="1"/>
  <c r="BO132" i="22"/>
  <c r="BO133" i="22" s="1"/>
  <c r="BK98" i="22"/>
  <c r="BK99" i="22" s="1"/>
  <c r="BK133" i="22"/>
  <c r="CD98" i="22"/>
  <c r="CD132" i="22" s="1"/>
  <c r="CA98" i="22"/>
  <c r="CA132" i="22" s="1"/>
  <c r="CB98" i="22"/>
  <c r="CB132" i="22" s="1"/>
  <c r="BW98" i="22"/>
  <c r="BW132" i="22" s="1"/>
  <c r="CC98" i="22"/>
  <c r="CC132" i="22" s="1"/>
  <c r="CE98" i="22"/>
  <c r="CE132" i="22" s="1"/>
  <c r="BU98" i="22"/>
  <c r="BU132" i="22" s="1"/>
  <c r="BZ98" i="22"/>
  <c r="BZ132" i="22" s="1"/>
  <c r="BY98" i="22"/>
  <c r="BY132" i="22" s="1"/>
  <c r="CF98" i="22"/>
  <c r="CF132" i="22" s="1"/>
  <c r="BX98" i="22"/>
  <c r="BX132" i="22" s="1"/>
  <c r="BV98" i="22"/>
  <c r="BV132" i="22" s="1"/>
  <c r="AD23" i="35" l="1"/>
  <c r="C6" i="18"/>
  <c r="AH23" i="35"/>
  <c r="D6" i="18"/>
  <c r="C10" i="38"/>
  <c r="R10" i="38" s="1"/>
  <c r="R10" i="37"/>
  <c r="E6" i="18"/>
  <c r="BK135" i="22"/>
  <c r="BK136" i="22" s="1"/>
  <c r="BK101" i="22"/>
  <c r="BK102" i="22" s="1"/>
  <c r="AJ41" i="7" l="1"/>
  <c r="AJ49" i="7"/>
  <c r="AJ64" i="7"/>
  <c r="AJ77" i="7"/>
  <c r="AJ87" i="7"/>
  <c r="AJ97" i="7"/>
  <c r="AJ119" i="7"/>
  <c r="AJ133" i="7"/>
  <c r="AJ145" i="7"/>
  <c r="AJ165" i="7"/>
  <c r="AJ185" i="7"/>
  <c r="AJ195" i="7"/>
  <c r="AO31" i="7"/>
  <c r="AO43" i="7"/>
  <c r="AO55" i="7"/>
  <c r="AO69" i="7"/>
  <c r="AO81" i="7"/>
  <c r="AO91" i="7"/>
  <c r="AO99" i="7"/>
  <c r="AO121" i="7"/>
  <c r="AO135" i="7"/>
  <c r="AO153" i="7"/>
  <c r="AO175" i="7"/>
  <c r="AO187" i="7"/>
  <c r="AO197" i="7"/>
  <c r="AJ59" i="7"/>
  <c r="AJ103" i="7"/>
  <c r="AJ117" i="7"/>
  <c r="AJ137" i="7"/>
  <c r="AJ151" i="7"/>
  <c r="AJ181" i="7"/>
  <c r="AJ191" i="7"/>
  <c r="AJ201" i="7"/>
  <c r="AJ39" i="7"/>
  <c r="AO57" i="7"/>
  <c r="AJ65" i="7"/>
  <c r="AO101" i="7"/>
  <c r="AJ107" i="7"/>
  <c r="AO113" i="7"/>
  <c r="AJ123" i="7"/>
  <c r="AO131" i="7"/>
  <c r="AJ143" i="7"/>
  <c r="AO149" i="7"/>
  <c r="AJ159" i="7"/>
  <c r="AO167" i="7"/>
  <c r="AJ173" i="7"/>
  <c r="AO183" i="7"/>
  <c r="AJ199" i="7"/>
  <c r="AJ11" i="7"/>
  <c r="AJ13" i="7"/>
  <c r="AJ7" i="7"/>
  <c r="AO199" i="7" l="1"/>
  <c r="AO173" i="7"/>
  <c r="AO159" i="7"/>
  <c r="AO143" i="7"/>
  <c r="AO123" i="7"/>
  <c r="AO107" i="7"/>
  <c r="AO65" i="7"/>
  <c r="AO39" i="7"/>
  <c r="AO201" i="7"/>
  <c r="AO181" i="7"/>
  <c r="AO7" i="7"/>
  <c r="AJ169" i="7"/>
  <c r="AO169" i="7"/>
  <c r="AO151" i="7"/>
  <c r="AO137" i="7"/>
  <c r="AO117" i="7"/>
  <c r="AO103" i="7"/>
  <c r="AO59" i="7"/>
  <c r="AJ197" i="7"/>
  <c r="AJ187" i="7"/>
  <c r="AJ175" i="7"/>
  <c r="AJ153" i="7"/>
  <c r="AJ135" i="7"/>
  <c r="AJ121" i="7"/>
  <c r="AJ99" i="7"/>
  <c r="AJ91" i="7"/>
  <c r="AJ81" i="7"/>
  <c r="AJ69" i="7"/>
  <c r="AJ55" i="7"/>
  <c r="AJ43" i="7"/>
  <c r="AO195" i="7"/>
  <c r="AO185" i="7"/>
  <c r="AO165" i="7"/>
  <c r="AO145" i="7"/>
  <c r="AO133" i="7"/>
  <c r="AO119" i="7"/>
  <c r="AO97" i="7"/>
  <c r="AO87" i="7"/>
  <c r="AO77" i="7"/>
  <c r="AO64" i="7"/>
  <c r="AO49" i="7"/>
  <c r="AO41" i="7"/>
  <c r="AO29" i="7"/>
  <c r="AO13" i="7"/>
  <c r="AO11" i="7"/>
  <c r="AJ183" i="7"/>
  <c r="AJ167" i="7"/>
  <c r="AJ149" i="7"/>
  <c r="AJ131" i="7"/>
  <c r="AJ113" i="7"/>
  <c r="AJ101" i="7"/>
  <c r="AJ57" i="7"/>
  <c r="AO191" i="7"/>
  <c r="AJ163" i="7"/>
  <c r="AO163" i="7"/>
  <c r="AJ147" i="7"/>
  <c r="AO147" i="7"/>
  <c r="AJ125" i="7"/>
  <c r="AO125" i="7"/>
  <c r="AJ111" i="7"/>
  <c r="AO111" i="7"/>
  <c r="AJ89" i="7"/>
  <c r="AO89" i="7"/>
  <c r="AJ51" i="7"/>
  <c r="AO51" i="7"/>
  <c r="AJ193" i="7"/>
  <c r="AO193" i="7"/>
  <c r="AJ179" i="7"/>
  <c r="AO179" i="7"/>
  <c r="AJ157" i="7"/>
  <c r="AO157" i="7"/>
  <c r="AJ141" i="7"/>
  <c r="AO141" i="7"/>
  <c r="AJ129" i="7"/>
  <c r="AO129" i="7"/>
  <c r="AJ115" i="7"/>
  <c r="AO115" i="7"/>
  <c r="AJ95" i="7"/>
  <c r="AO95" i="7"/>
  <c r="AJ85" i="7"/>
  <c r="AO85" i="7"/>
  <c r="AJ73" i="7"/>
  <c r="AO73" i="7"/>
  <c r="AJ47" i="7"/>
  <c r="AO47" i="7"/>
  <c r="AJ35" i="7"/>
  <c r="AO35" i="7"/>
  <c r="AJ189" i="7"/>
  <c r="AO189" i="7"/>
  <c r="AJ177" i="7"/>
  <c r="AO177" i="7"/>
  <c r="AJ155" i="7"/>
  <c r="AO155" i="7"/>
  <c r="AJ139" i="7"/>
  <c r="AO139" i="7"/>
  <c r="AJ127" i="7"/>
  <c r="AO127" i="7"/>
  <c r="AJ105" i="7"/>
  <c r="AO105" i="7"/>
  <c r="AJ93" i="7"/>
  <c r="AO93" i="7"/>
  <c r="AJ83" i="7"/>
  <c r="AO83" i="7"/>
  <c r="AJ71" i="7"/>
  <c r="AO71" i="7"/>
  <c r="AJ45" i="7"/>
  <c r="AO45" i="7"/>
  <c r="AO33" i="7"/>
  <c r="AQ6" i="13" l="1"/>
  <c r="AQ13" i="13" s="1"/>
  <c r="AR12" i="13" s="1"/>
  <c r="BI34" i="22"/>
  <c r="BN43" i="22"/>
  <c r="BN40" i="22" s="1"/>
  <c r="BP98" i="22" l="1"/>
  <c r="BP99" i="22" s="1"/>
  <c r="BP132" i="22" s="1"/>
  <c r="BP133" i="22" s="1"/>
  <c r="AR11" i="13"/>
  <c r="AR5" i="13"/>
  <c r="BL98" i="22"/>
  <c r="BL99" i="22" s="1"/>
  <c r="BL132" i="22" s="1"/>
  <c r="BL133" i="22" s="1"/>
  <c r="BN38" i="22"/>
  <c r="BN37" i="22"/>
  <c r="BN42" i="22"/>
  <c r="BN41" i="22"/>
  <c r="BN39" i="22"/>
  <c r="BN36" i="22"/>
  <c r="AR6" i="13" l="1"/>
  <c r="AR7" i="13"/>
  <c r="AR9" i="13"/>
  <c r="AR8" i="13"/>
  <c r="AR10" i="13"/>
  <c r="P12" i="13"/>
  <c r="P11" i="13"/>
  <c r="E9" i="17" s="1"/>
  <c r="E22" i="17" s="1"/>
  <c r="P13" i="13"/>
  <c r="BN98" i="22"/>
  <c r="BN99" i="22" s="1"/>
  <c r="BN132" i="22" s="1"/>
  <c r="BN133" i="22" s="1"/>
  <c r="Q6" i="13" l="1"/>
  <c r="Q14" i="13" s="1"/>
  <c r="R11" i="13"/>
  <c r="S11" i="13" s="1"/>
  <c r="AR13" i="13"/>
  <c r="BR98" i="22"/>
  <c r="BR99" i="22" s="1"/>
  <c r="BR132" i="22" s="1"/>
  <c r="BR133" i="22" s="1"/>
  <c r="E10" i="17"/>
  <c r="E23" i="17" s="1"/>
  <c r="B11" i="15"/>
  <c r="C11" i="15" s="1"/>
  <c r="AJ11" i="13" l="1"/>
  <c r="B10" i="15"/>
  <c r="C10" i="15" s="1"/>
  <c r="J9" i="17"/>
  <c r="P8" i="13"/>
  <c r="P9" i="13"/>
  <c r="P10" i="13"/>
  <c r="J13" i="17" l="1"/>
  <c r="J22" i="17"/>
  <c r="R9" i="13"/>
  <c r="S9" i="13" s="1"/>
  <c r="R10" i="13"/>
  <c r="R8" i="13"/>
  <c r="E8" i="17"/>
  <c r="E21" i="17" s="1"/>
  <c r="G6" i="37" s="1"/>
  <c r="G6" i="38" s="1"/>
  <c r="E6" i="17"/>
  <c r="E19" i="17" s="1"/>
  <c r="E7" i="17"/>
  <c r="E20" i="17" s="1"/>
  <c r="O6" i="37" l="1"/>
  <c r="O6" i="38" s="1"/>
  <c r="J26" i="17"/>
  <c r="C6" i="37"/>
  <c r="C6" i="38" s="1"/>
  <c r="U8" i="13"/>
  <c r="W8" i="13"/>
  <c r="Y8" i="13"/>
  <c r="V8" i="13"/>
  <c r="Z8" i="13"/>
  <c r="T8" i="13"/>
  <c r="X8" i="13"/>
  <c r="U10" i="13"/>
  <c r="W10" i="13"/>
  <c r="Y10" i="13"/>
  <c r="T10" i="13"/>
  <c r="X10" i="13"/>
  <c r="V10" i="13"/>
  <c r="Z10" i="13"/>
  <c r="AF9" i="13"/>
  <c r="AD9" i="13"/>
  <c r="AB9" i="13"/>
  <c r="AG9" i="13"/>
  <c r="AE9" i="13"/>
  <c r="AC9" i="13"/>
  <c r="AA9" i="13"/>
  <c r="S8" i="13"/>
  <c r="S10" i="13"/>
  <c r="T9" i="13"/>
  <c r="V9" i="13"/>
  <c r="X9" i="13"/>
  <c r="Z9" i="13"/>
  <c r="W9" i="13"/>
  <c r="AK9" i="13" s="1"/>
  <c r="U9" i="13"/>
  <c r="AI9" i="13" s="1"/>
  <c r="Y9" i="13"/>
  <c r="BT98" i="22"/>
  <c r="BT99" i="22" s="1"/>
  <c r="BT132" i="22" s="1"/>
  <c r="BT133" i="22" s="1"/>
  <c r="P7" i="13"/>
  <c r="P6" i="13"/>
  <c r="R6" i="13" s="1"/>
  <c r="AM9" i="13" l="1"/>
  <c r="AL9" i="13"/>
  <c r="AH9" i="13"/>
  <c r="AG8" i="13"/>
  <c r="AN8" i="13" s="1"/>
  <c r="AE8" i="13"/>
  <c r="AL8" i="13" s="1"/>
  <c r="AC8" i="13"/>
  <c r="AJ8" i="13" s="1"/>
  <c r="AA8" i="13"/>
  <c r="AF8" i="13"/>
  <c r="AM8" i="13" s="1"/>
  <c r="AD8" i="13"/>
  <c r="AB8" i="13"/>
  <c r="AI8" i="13" s="1"/>
  <c r="AH8" i="13"/>
  <c r="AK8" i="13"/>
  <c r="V7" i="13"/>
  <c r="R7" i="13"/>
  <c r="AN9" i="13"/>
  <c r="AJ9" i="13"/>
  <c r="AG10" i="13"/>
  <c r="AN10" i="13" s="1"/>
  <c r="AE10" i="13"/>
  <c r="AL10" i="13" s="1"/>
  <c r="AC10" i="13"/>
  <c r="AJ10" i="13" s="1"/>
  <c r="AA10" i="13"/>
  <c r="AF10" i="13"/>
  <c r="AM10" i="13" s="1"/>
  <c r="AD10" i="13"/>
  <c r="AK10" i="13" s="1"/>
  <c r="AB10" i="13"/>
  <c r="AI10" i="13" s="1"/>
  <c r="AH10" i="13"/>
  <c r="T6" i="13"/>
  <c r="E4" i="17"/>
  <c r="E17" i="17" s="1"/>
  <c r="P14" i="13"/>
  <c r="B4" i="15" s="1"/>
  <c r="C4" i="15" s="1"/>
  <c r="E5" i="17"/>
  <c r="E18" i="17" s="1"/>
  <c r="F6" i="37" s="1"/>
  <c r="F6" i="38" s="1"/>
  <c r="E26" i="17" l="1"/>
  <c r="K6" i="37"/>
  <c r="K6" i="38" s="1"/>
  <c r="T7" i="13"/>
  <c r="X7" i="13"/>
  <c r="Z7" i="13"/>
  <c r="U7" i="13"/>
  <c r="Y7" i="13"/>
  <c r="W7" i="13"/>
  <c r="S7" i="13"/>
  <c r="Z6" i="13"/>
  <c r="X6" i="13"/>
  <c r="V6" i="13"/>
  <c r="Y6" i="13"/>
  <c r="W6" i="13"/>
  <c r="U6" i="13"/>
  <c r="S6" i="13"/>
  <c r="E13" i="17"/>
  <c r="C11" i="17"/>
  <c r="C24" i="17" s="1"/>
  <c r="M24" i="17" s="1"/>
  <c r="AA6" i="13" l="1"/>
  <c r="AH6" i="13" s="1"/>
  <c r="S5" i="38"/>
  <c r="R6" i="38"/>
  <c r="R6" i="37"/>
  <c r="AF7" i="13"/>
  <c r="AM7" i="13" s="1"/>
  <c r="AD7" i="13"/>
  <c r="AK7" i="13" s="1"/>
  <c r="AB7" i="13"/>
  <c r="AI7" i="13" s="1"/>
  <c r="AG7" i="13"/>
  <c r="AN7" i="13" s="1"/>
  <c r="AC7" i="13"/>
  <c r="AJ7" i="13" s="1"/>
  <c r="AE7" i="13"/>
  <c r="AL7" i="13" s="1"/>
  <c r="AA7" i="13"/>
  <c r="AH7" i="13" s="1"/>
  <c r="AG6" i="13"/>
  <c r="AN6" i="13" s="1"/>
  <c r="AE6" i="13"/>
  <c r="AL6" i="13" s="1"/>
  <c r="AC6" i="13"/>
  <c r="AJ6" i="13" s="1"/>
  <c r="AF6" i="13"/>
  <c r="AM6" i="13" s="1"/>
  <c r="AD6" i="13"/>
  <c r="AK6" i="13" s="1"/>
  <c r="AB6" i="13"/>
  <c r="AI6" i="13" s="1"/>
  <c r="M11" i="17"/>
  <c r="AH14" i="13" l="1"/>
  <c r="AH22" i="13" s="1"/>
  <c r="AN14" i="13"/>
  <c r="AM14" i="13"/>
  <c r="AL14" i="13"/>
  <c r="AJ14" i="13"/>
  <c r="AI14" i="13"/>
  <c r="AK14" i="13"/>
  <c r="AK22" i="13" s="1"/>
  <c r="C7" i="18" l="1"/>
  <c r="F7" i="18"/>
  <c r="AN22" i="13"/>
  <c r="I7" i="18"/>
  <c r="AI22" i="13"/>
  <c r="D7" i="18"/>
  <c r="AL22" i="13"/>
  <c r="G7" i="18"/>
  <c r="E7" i="18"/>
  <c r="AJ22" i="13"/>
  <c r="H7" i="18"/>
  <c r="AM22" i="13"/>
  <c r="F44" i="22" l="1"/>
  <c r="AV206" i="7" l="1"/>
  <c r="B246" i="7" s="1"/>
  <c r="AW206" i="7"/>
  <c r="C246" i="7" s="1"/>
  <c r="BA206" i="7"/>
  <c r="BC206" i="7"/>
  <c r="BD206" i="7"/>
  <c r="B250" i="7" s="1"/>
  <c r="AZ206" i="7"/>
  <c r="B248" i="7" s="1"/>
  <c r="AX206" i="7"/>
  <c r="B247" i="7" s="1"/>
  <c r="BB206" i="7"/>
  <c r="B249" i="7" s="1"/>
  <c r="AY206" i="7"/>
  <c r="C247" i="7" s="1"/>
  <c r="B217" i="7"/>
  <c r="B219" i="7"/>
  <c r="B216" i="7"/>
  <c r="B220" i="7"/>
  <c r="B240" i="7" s="1"/>
  <c r="B243" i="7" s="1"/>
  <c r="B218" i="7"/>
  <c r="B215" i="7"/>
  <c r="B222" i="7" l="1"/>
  <c r="C217" i="7" s="1"/>
  <c r="C215" i="7" l="1"/>
  <c r="C216" i="7"/>
  <c r="C219" i="7"/>
  <c r="C220" i="7"/>
  <c r="C218" i="7"/>
  <c r="C221" i="7"/>
  <c r="C237" i="7"/>
  <c r="D237" i="7" s="1"/>
  <c r="AH7" i="10" s="1"/>
  <c r="C239" i="7"/>
  <c r="D239" i="7" s="1"/>
  <c r="AH9" i="10" s="1"/>
  <c r="C241" i="7"/>
  <c r="D241" i="7" s="1"/>
  <c r="AH11" i="10" s="1"/>
  <c r="C235" i="7"/>
  <c r="D235" i="7" s="1"/>
  <c r="C236" i="7"/>
  <c r="D236" i="7" s="1"/>
  <c r="AH6" i="10" s="1"/>
  <c r="C238" i="7"/>
  <c r="D238" i="7" s="1"/>
  <c r="AH8" i="10" s="1"/>
  <c r="C240" i="7"/>
  <c r="D240" i="7" s="1"/>
  <c r="AH10" i="10" s="1"/>
  <c r="C242" i="7"/>
  <c r="D242" i="7" s="1"/>
  <c r="D243" i="7" l="1"/>
  <c r="C222" i="7"/>
  <c r="AI8" i="10"/>
  <c r="C7" i="17"/>
  <c r="C20" i="17" s="1"/>
  <c r="P9" i="10"/>
  <c r="AH5" i="10"/>
  <c r="AI9" i="10"/>
  <c r="P10" i="10"/>
  <c r="C8" i="17"/>
  <c r="C21" i="17" s="1"/>
  <c r="G9" i="37" s="1"/>
  <c r="AI10" i="10"/>
  <c r="C9" i="17"/>
  <c r="C22" i="17" s="1"/>
  <c r="P11" i="10"/>
  <c r="AI6" i="10"/>
  <c r="T7" i="23" s="1"/>
  <c r="AA7" i="23" s="1"/>
  <c r="C5" i="17"/>
  <c r="C18" i="17" s="1"/>
  <c r="F9" i="37" s="1"/>
  <c r="P7" i="10"/>
  <c r="AI11" i="10"/>
  <c r="P12" i="10"/>
  <c r="C10" i="17"/>
  <c r="C23" i="17" s="1"/>
  <c r="M23" i="17" s="1"/>
  <c r="AI7" i="10"/>
  <c r="C6" i="17"/>
  <c r="C19" i="17" s="1"/>
  <c r="O9" i="37" s="1"/>
  <c r="P8" i="10"/>
  <c r="C243" i="7"/>
  <c r="Q13" i="10" l="1"/>
  <c r="G9" i="38"/>
  <c r="G8" i="37"/>
  <c r="O9" i="38"/>
  <c r="O8" i="37"/>
  <c r="F9" i="38"/>
  <c r="F8" i="37"/>
  <c r="AI5" i="10"/>
  <c r="C4" i="17"/>
  <c r="C17" i="17" s="1"/>
  <c r="K9" i="37" s="1"/>
  <c r="P6" i="10"/>
  <c r="U8" i="10"/>
  <c r="AB8" i="10" s="1"/>
  <c r="V8" i="10"/>
  <c r="AC8" i="10" s="1"/>
  <c r="S8" i="10"/>
  <c r="Z8" i="10" s="1"/>
  <c r="R8" i="10"/>
  <c r="Y8" i="10" s="1"/>
  <c r="X8" i="10"/>
  <c r="AE8" i="10" s="1"/>
  <c r="T8" i="10"/>
  <c r="AA8" i="10" s="1"/>
  <c r="W8" i="10"/>
  <c r="AD8" i="10" s="1"/>
  <c r="V7" i="10"/>
  <c r="AC7" i="10" s="1"/>
  <c r="R7" i="10"/>
  <c r="Y7" i="10" s="1"/>
  <c r="U7" i="10"/>
  <c r="AB7" i="10" s="1"/>
  <c r="W7" i="10"/>
  <c r="AD7" i="10" s="1"/>
  <c r="T7" i="10"/>
  <c r="AA7" i="10" s="1"/>
  <c r="S7" i="10"/>
  <c r="Z7" i="10" s="1"/>
  <c r="X7" i="10"/>
  <c r="AE7" i="10" s="1"/>
  <c r="W10" i="10"/>
  <c r="AD10" i="10" s="1"/>
  <c r="R10" i="10"/>
  <c r="Y10" i="10" s="1"/>
  <c r="U10" i="10"/>
  <c r="AB10" i="10" s="1"/>
  <c r="V10" i="10"/>
  <c r="AC10" i="10" s="1"/>
  <c r="S10" i="10"/>
  <c r="Z10" i="10" s="1"/>
  <c r="T10" i="10"/>
  <c r="AA10" i="10" s="1"/>
  <c r="X10" i="10"/>
  <c r="AE10" i="10" s="1"/>
  <c r="S9" i="10"/>
  <c r="Z9" i="10" s="1"/>
  <c r="T9" i="10"/>
  <c r="AA9" i="10" s="1"/>
  <c r="W9" i="10"/>
  <c r="AD9" i="10" s="1"/>
  <c r="R9" i="10"/>
  <c r="Y9" i="10" s="1"/>
  <c r="U9" i="10"/>
  <c r="AB9" i="10" s="1"/>
  <c r="X9" i="10"/>
  <c r="AE9" i="10" s="1"/>
  <c r="V9" i="10"/>
  <c r="AC9" i="10" s="1"/>
  <c r="F8" i="38" l="1"/>
  <c r="O8" i="38"/>
  <c r="G8" i="38"/>
  <c r="AI13" i="10"/>
  <c r="AA11" i="10"/>
  <c r="H9" i="17"/>
  <c r="B8" i="15"/>
  <c r="C8" i="15" s="1"/>
  <c r="K9" i="38"/>
  <c r="K8" i="37"/>
  <c r="C26" i="17"/>
  <c r="C13" i="17"/>
  <c r="P4" i="17" s="1"/>
  <c r="X6" i="10"/>
  <c r="AE6" i="10" s="1"/>
  <c r="AE13" i="10" s="1"/>
  <c r="AE23" i="10" s="1"/>
  <c r="I5" i="18" s="1"/>
  <c r="R6" i="10"/>
  <c r="Y6" i="10" s="1"/>
  <c r="Y13" i="10" s="1"/>
  <c r="Y23" i="10" s="1"/>
  <c r="C5" i="18" s="1"/>
  <c r="S6" i="10"/>
  <c r="Z6" i="10" s="1"/>
  <c r="Z13" i="10" s="1"/>
  <c r="Z23" i="10" s="1"/>
  <c r="D5" i="18" s="1"/>
  <c r="T6" i="10"/>
  <c r="U6" i="10"/>
  <c r="AB6" i="10" s="1"/>
  <c r="AB13" i="10" s="1"/>
  <c r="V6" i="10"/>
  <c r="AC6" i="10" s="1"/>
  <c r="AC13" i="10" s="1"/>
  <c r="AC23" i="10" s="1"/>
  <c r="G5" i="18" s="1"/>
  <c r="W6" i="10"/>
  <c r="AD6" i="10" s="1"/>
  <c r="AD13" i="10" s="1"/>
  <c r="AD23" i="10" s="1"/>
  <c r="H5" i="18" s="1"/>
  <c r="P13" i="10"/>
  <c r="K8" i="38" l="1"/>
  <c r="H13" i="17"/>
  <c r="H22" i="17"/>
  <c r="AA6" i="10"/>
  <c r="AA13" i="10" s="1"/>
  <c r="F5" i="18"/>
  <c r="AB23" i="10"/>
  <c r="W4" i="17"/>
  <c r="W11" i="17"/>
  <c r="P12" i="17"/>
  <c r="W13" i="17"/>
  <c r="P11" i="17"/>
  <c r="W9" i="17"/>
  <c r="P8" i="17"/>
  <c r="P7" i="17"/>
  <c r="W6" i="17"/>
  <c r="W10" i="17"/>
  <c r="P5" i="17"/>
  <c r="P9" i="17"/>
  <c r="W8" i="17"/>
  <c r="W7" i="17"/>
  <c r="P6" i="17"/>
  <c r="P10" i="17"/>
  <c r="W5" i="17"/>
  <c r="H26" i="17" l="1"/>
  <c r="C9" i="37"/>
  <c r="E5" i="18"/>
  <c r="AA23" i="10"/>
  <c r="BE206" i="7"/>
  <c r="C250" i="7" s="1"/>
  <c r="R9" i="37" l="1"/>
  <c r="C9" i="38"/>
  <c r="R9" i="38" s="1"/>
  <c r="C8" i="37"/>
  <c r="K8" i="17"/>
  <c r="K5" i="17"/>
  <c r="T9" i="23"/>
  <c r="AA9" i="23" s="1"/>
  <c r="T6" i="23"/>
  <c r="AA6" i="23" s="1"/>
  <c r="K9" i="17" l="1"/>
  <c r="K22" i="17" s="1"/>
  <c r="AA11" i="23"/>
  <c r="C8" i="38"/>
  <c r="R8" i="38" s="1"/>
  <c r="R8" i="37"/>
  <c r="M8" i="17"/>
  <c r="K21" i="17"/>
  <c r="O5" i="17"/>
  <c r="K18" i="17"/>
  <c r="S10" i="23"/>
  <c r="Z10" i="23" s="1"/>
  <c r="X9" i="23"/>
  <c r="AE9" i="23" s="1"/>
  <c r="T10" i="23"/>
  <c r="AA10" i="23" s="1"/>
  <c r="X7" i="23"/>
  <c r="AE7" i="23" s="1"/>
  <c r="M5" i="17"/>
  <c r="V10" i="23"/>
  <c r="AC10" i="23" s="1"/>
  <c r="W10" i="23"/>
  <c r="AD10" i="23" s="1"/>
  <c r="R7" i="23"/>
  <c r="Y7" i="23" s="1"/>
  <c r="O8" i="17"/>
  <c r="S7" i="23"/>
  <c r="Z7" i="23" s="1"/>
  <c r="O10" i="17"/>
  <c r="M10" i="17"/>
  <c r="O9" i="17"/>
  <c r="U8" i="23"/>
  <c r="AB8" i="23" s="1"/>
  <c r="S8" i="23"/>
  <c r="Z8" i="23" s="1"/>
  <c r="X8" i="23"/>
  <c r="AE8" i="23" s="1"/>
  <c r="K6" i="17"/>
  <c r="K19" i="17" s="1"/>
  <c r="T8" i="23"/>
  <c r="AA8" i="23" s="1"/>
  <c r="W8" i="23"/>
  <c r="AD8" i="23" s="1"/>
  <c r="P13" i="23"/>
  <c r="K4" i="17"/>
  <c r="K17" i="17" s="1"/>
  <c r="W6" i="23"/>
  <c r="AD6" i="23" s="1"/>
  <c r="X6" i="23"/>
  <c r="AE6" i="23" s="1"/>
  <c r="U6" i="23"/>
  <c r="AB6" i="23" s="1"/>
  <c r="V9" i="23"/>
  <c r="AC9" i="23" s="1"/>
  <c r="S9" i="23"/>
  <c r="Z9" i="23" s="1"/>
  <c r="R9" i="23"/>
  <c r="Y9" i="23" s="1"/>
  <c r="W9" i="23"/>
  <c r="AD9" i="23" s="1"/>
  <c r="V6" i="23"/>
  <c r="AC6" i="23" s="1"/>
  <c r="R6" i="23"/>
  <c r="Y6" i="23" s="1"/>
  <c r="S6" i="23"/>
  <c r="Z6" i="23" s="1"/>
  <c r="R10" i="23"/>
  <c r="Y10" i="23" s="1"/>
  <c r="W7" i="23"/>
  <c r="AD7" i="23" s="1"/>
  <c r="V7" i="23"/>
  <c r="AC7" i="23" s="1"/>
  <c r="K7" i="17"/>
  <c r="K20" i="17" s="1"/>
  <c r="M20" i="17" s="1"/>
  <c r="U9" i="23"/>
  <c r="AB9" i="23" s="1"/>
  <c r="R8" i="23"/>
  <c r="Y8" i="23" s="1"/>
  <c r="V8" i="23"/>
  <c r="AC8" i="23" s="1"/>
  <c r="U10" i="23"/>
  <c r="AB10" i="23" s="1"/>
  <c r="X10" i="23"/>
  <c r="AE10" i="23" s="1"/>
  <c r="U7" i="23"/>
  <c r="AB7" i="23" s="1"/>
  <c r="L9" i="17" l="1"/>
  <c r="B12" i="15"/>
  <c r="C12" i="15" s="1"/>
  <c r="AA13" i="23"/>
  <c r="AA23" i="23" s="1"/>
  <c r="K7" i="37"/>
  <c r="K13" i="37" s="1"/>
  <c r="K26" i="17"/>
  <c r="M17" i="17"/>
  <c r="O7" i="37"/>
  <c r="O13" i="37" s="1"/>
  <c r="M19" i="17"/>
  <c r="F7" i="37"/>
  <c r="F13" i="37" s="1"/>
  <c r="M18" i="17"/>
  <c r="G7" i="37"/>
  <c r="G13" i="37" s="1"/>
  <c r="M21" i="17"/>
  <c r="Y13" i="23"/>
  <c r="AB13" i="23"/>
  <c r="AD13" i="23"/>
  <c r="M7" i="17"/>
  <c r="O7" i="17"/>
  <c r="Z13" i="23"/>
  <c r="AC13" i="23"/>
  <c r="AE13" i="23"/>
  <c r="K13" i="17"/>
  <c r="O4" i="17"/>
  <c r="M4" i="17"/>
  <c r="O6" i="17"/>
  <c r="M6" i="17"/>
  <c r="F28" i="36" l="1"/>
  <c r="B13" i="15"/>
  <c r="C13" i="15" s="1"/>
  <c r="L22" i="17"/>
  <c r="L13" i="17"/>
  <c r="M9" i="17"/>
  <c r="M13" i="17" s="1"/>
  <c r="D27" i="36" s="1"/>
  <c r="E8" i="18"/>
  <c r="E12" i="18" s="1"/>
  <c r="J27" i="36" s="1"/>
  <c r="F19" i="37"/>
  <c r="F7" i="38"/>
  <c r="G19" i="37"/>
  <c r="G7" i="38"/>
  <c r="G13" i="38" s="1"/>
  <c r="G22" i="38" s="1"/>
  <c r="O19" i="37"/>
  <c r="O7" i="38"/>
  <c r="O13" i="38" s="1"/>
  <c r="O22" i="38" s="1"/>
  <c r="K19" i="37"/>
  <c r="K7" i="38"/>
  <c r="K13" i="38" s="1"/>
  <c r="K22" i="38" s="1"/>
  <c r="O13" i="17"/>
  <c r="I8" i="18"/>
  <c r="I12" i="18" s="1"/>
  <c r="AE23" i="23"/>
  <c r="D8" i="18"/>
  <c r="D12" i="18" s="1"/>
  <c r="Z23" i="23"/>
  <c r="F8" i="18"/>
  <c r="F12" i="18" s="1"/>
  <c r="AB23" i="23"/>
  <c r="AC23" i="23"/>
  <c r="G8" i="18"/>
  <c r="G12" i="18" s="1"/>
  <c r="H8" i="18"/>
  <c r="H12" i="18" s="1"/>
  <c r="AD23" i="23"/>
  <c r="Y23" i="23"/>
  <c r="C8" i="18"/>
  <c r="C12" i="18" s="1"/>
  <c r="F29" i="36" l="1"/>
  <c r="E27" i="36"/>
  <c r="D30" i="36"/>
  <c r="K35" i="36"/>
  <c r="K37" i="36"/>
  <c r="E21" i="18"/>
  <c r="H21" i="18"/>
  <c r="M27" i="36"/>
  <c r="D5" i="15"/>
  <c r="D9" i="15"/>
  <c r="D10" i="15"/>
  <c r="D11" i="15"/>
  <c r="D6" i="15"/>
  <c r="D4" i="15"/>
  <c r="D3" i="15"/>
  <c r="D7" i="15"/>
  <c r="D8" i="15"/>
  <c r="C21" i="18"/>
  <c r="H27" i="36"/>
  <c r="G21" i="18"/>
  <c r="L27" i="36"/>
  <c r="F21" i="18"/>
  <c r="K27" i="36"/>
  <c r="I21" i="18"/>
  <c r="N27" i="36"/>
  <c r="L26" i="17"/>
  <c r="M22" i="17"/>
  <c r="M26" i="17" s="1"/>
  <c r="C7" i="37"/>
  <c r="C13" i="37" s="1"/>
  <c r="D12" i="15"/>
  <c r="D21" i="18"/>
  <c r="I27" i="36"/>
  <c r="J28" i="36"/>
  <c r="F13" i="38"/>
  <c r="F22" i="38" s="1"/>
  <c r="N18" i="17"/>
  <c r="N23" i="17"/>
  <c r="N24" i="17"/>
  <c r="N19" i="17"/>
  <c r="N20" i="17"/>
  <c r="N21" i="17"/>
  <c r="N17" i="17"/>
  <c r="N25" i="17"/>
  <c r="N12" i="17"/>
  <c r="Q12" i="17"/>
  <c r="N11" i="17"/>
  <c r="N8" i="17"/>
  <c r="Q5" i="17"/>
  <c r="Q8" i="17"/>
  <c r="N5" i="17"/>
  <c r="N9" i="17"/>
  <c r="N10" i="17"/>
  <c r="Q9" i="17"/>
  <c r="Q10" i="17"/>
  <c r="N4" i="17"/>
  <c r="N6" i="17"/>
  <c r="Q7" i="17"/>
  <c r="Q4" i="17"/>
  <c r="Q6" i="17"/>
  <c r="N7" i="17"/>
  <c r="J29" i="36" l="1"/>
  <c r="K32" i="36"/>
  <c r="N22" i="17"/>
  <c r="N26" i="17" s="1"/>
  <c r="C7" i="38"/>
  <c r="C19" i="37"/>
  <c r="R7" i="37"/>
  <c r="R13" i="37" s="1"/>
  <c r="R19" i="37" s="1"/>
  <c r="C21" i="37" s="1"/>
  <c r="M30" i="36"/>
  <c r="M28" i="36"/>
  <c r="M29" i="36" s="1"/>
  <c r="N30" i="36"/>
  <c r="N28" i="36"/>
  <c r="N29" i="36" s="1"/>
  <c r="K30" i="36"/>
  <c r="K28" i="36"/>
  <c r="K29" i="36" s="1"/>
  <c r="L30" i="36"/>
  <c r="L28" i="36"/>
  <c r="L29" i="36" s="1"/>
  <c r="H28" i="36"/>
  <c r="H29" i="36" s="1"/>
  <c r="H30" i="36"/>
  <c r="D13" i="15"/>
  <c r="I30" i="36"/>
  <c r="I28" i="36"/>
  <c r="I29" i="36" s="1"/>
  <c r="N13" i="17"/>
  <c r="C13" i="38" l="1"/>
  <c r="C22" i="38" s="1"/>
  <c r="R7" i="38"/>
  <c r="R13" i="38" s="1"/>
  <c r="R22" i="38" s="1"/>
  <c r="D28" i="36"/>
  <c r="E28" i="36" s="1"/>
  <c r="K33" i="36" l="1"/>
  <c r="K34" i="36"/>
  <c r="C26" i="38"/>
  <c r="D29" i="36"/>
  <c r="K36" i="3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ELKRUKO</author>
  </authors>
  <commentList>
    <comment ref="N3" authorId="0" shapeId="0" xr:uid="{00000000-0006-0000-0400-000001000000}">
      <text>
        <r>
          <rPr>
            <sz val="8"/>
            <color indexed="81"/>
            <rFont val="Tahoma"/>
            <family val="2"/>
            <charset val="238"/>
          </rPr>
          <t xml:space="preserve">Jeślinie ma ilości paliwa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ELKRUKO</author>
    <author>Piotrek</author>
  </authors>
  <commentList>
    <comment ref="N3" authorId="0" shapeId="0" xr:uid="{00000000-0006-0000-0900-000001000000}">
      <text>
        <r>
          <rPr>
            <sz val="8"/>
            <color indexed="81"/>
            <rFont val="Tahoma"/>
            <family val="2"/>
            <charset val="238"/>
          </rPr>
          <t xml:space="preserve">Jeślinie ma ilości paliwa
</t>
        </r>
      </text>
    </comment>
    <comment ref="Q6" authorId="1" shapeId="0" xr:uid="{00000000-0006-0000-0900-000002000000}">
      <text>
        <r>
          <rPr>
            <b/>
            <sz val="9"/>
            <color indexed="81"/>
            <rFont val="Tahoma"/>
            <family val="2"/>
            <charset val="238"/>
          </rPr>
          <t xml:space="preserve">Ecovidi:
Na podstawie danych z ankietyzacji. Ilość en.elektr. przypadająca na 1 gospodarstwo przemnożona przez ilość gospodarstw w roku bazowym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Ecovidi</author>
  </authors>
  <commentList>
    <comment ref="AP5" authorId="0" shapeId="0" xr:uid="{00000000-0006-0000-0A00-000001000000}">
      <text>
        <r>
          <rPr>
            <b/>
            <sz val="8"/>
            <color indexed="81"/>
            <rFont val="Tahoma"/>
            <family val="2"/>
            <charset val="238"/>
          </rPr>
          <t>Ecovidi:</t>
        </r>
        <r>
          <rPr>
            <sz val="8"/>
            <color indexed="81"/>
            <rFont val="Tahoma"/>
            <family val="2"/>
            <charset val="238"/>
          </rPr>
          <t xml:space="preserve">
Formuła do oświetlenia</t>
        </r>
      </text>
    </comment>
    <comment ref="AP6" authorId="0" shapeId="0" xr:uid="{00000000-0006-0000-0A00-000002000000}">
      <text>
        <r>
          <rPr>
            <b/>
            <sz val="8"/>
            <color indexed="81"/>
            <rFont val="Tahoma"/>
            <family val="2"/>
            <charset val="238"/>
          </rPr>
          <t>Ecovidi:</t>
        </r>
        <r>
          <rPr>
            <sz val="8"/>
            <color indexed="81"/>
            <rFont val="Tahoma"/>
            <family val="2"/>
            <charset val="238"/>
          </rPr>
          <t xml:space="preserve">
Formuła do oświetlenia</t>
        </r>
      </text>
    </comment>
    <comment ref="AP7" authorId="0" shapeId="0" xr:uid="{00000000-0006-0000-0A00-000003000000}">
      <text>
        <r>
          <rPr>
            <b/>
            <sz val="8"/>
            <color indexed="81"/>
            <rFont val="Tahoma"/>
            <family val="2"/>
            <charset val="238"/>
          </rPr>
          <t>Ecovidi:</t>
        </r>
        <r>
          <rPr>
            <sz val="8"/>
            <color indexed="81"/>
            <rFont val="Tahoma"/>
            <family val="2"/>
            <charset val="238"/>
          </rPr>
          <t xml:space="preserve">
Formuła do oświetlenia</t>
        </r>
      </text>
    </comment>
    <comment ref="AP8" authorId="0" shapeId="0" xr:uid="{00000000-0006-0000-0A00-000004000000}">
      <text>
        <r>
          <rPr>
            <b/>
            <sz val="8"/>
            <color indexed="81"/>
            <rFont val="Tahoma"/>
            <family val="2"/>
            <charset val="238"/>
          </rPr>
          <t>Ecovidi:</t>
        </r>
        <r>
          <rPr>
            <sz val="8"/>
            <color indexed="81"/>
            <rFont val="Tahoma"/>
            <family val="2"/>
            <charset val="238"/>
          </rPr>
          <t xml:space="preserve">
Formuła do oświetlenia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ELKRUKO</author>
  </authors>
  <commentList>
    <comment ref="N3" authorId="0" shapeId="0" xr:uid="{00000000-0006-0000-0B00-000001000000}">
      <text>
        <r>
          <rPr>
            <sz val="8"/>
            <color indexed="81"/>
            <rFont val="Tahoma"/>
            <family val="2"/>
            <charset val="238"/>
          </rPr>
          <t xml:space="preserve">Jeślinie ma ilości paliwa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ELKRUKO</author>
    <author>Piotrek</author>
  </authors>
  <commentList>
    <comment ref="N3" authorId="0" shapeId="0" xr:uid="{00000000-0006-0000-0C00-000001000000}">
      <text>
        <r>
          <rPr>
            <sz val="8"/>
            <color indexed="81"/>
            <rFont val="Tahoma"/>
            <family val="2"/>
            <charset val="238"/>
          </rPr>
          <t xml:space="preserve">Jeślinie ma ilości paliwa
</t>
        </r>
      </text>
    </comment>
    <comment ref="Q6" authorId="1" shapeId="0" xr:uid="{00000000-0006-0000-0C00-000002000000}">
      <text>
        <r>
          <rPr>
            <b/>
            <sz val="9"/>
            <color indexed="81"/>
            <rFont val="Tahoma"/>
            <family val="2"/>
            <charset val="238"/>
          </rPr>
          <t>Ecovidi:
Brak danych</t>
        </r>
        <r>
          <rPr>
            <sz val="9"/>
            <color indexed="81"/>
            <rFont val="Tahoma"/>
            <family val="2"/>
            <charset val="238"/>
          </rPr>
          <t xml:space="preserve">
</t>
        </r>
      </text>
    </comment>
  </commentList>
</comments>
</file>

<file path=xl/sharedStrings.xml><?xml version="1.0" encoding="utf-8"?>
<sst xmlns="http://schemas.openxmlformats.org/spreadsheetml/2006/main" count="2856" uniqueCount="765">
  <si>
    <t>mikrokogeneracja</t>
  </si>
  <si>
    <t>biomasa</t>
  </si>
  <si>
    <t>pompa ciepła</t>
  </si>
  <si>
    <t>kolektory słoneczne</t>
  </si>
  <si>
    <t>Lp</t>
  </si>
  <si>
    <t>Liczba mieszkańców</t>
  </si>
  <si>
    <t>gaz ziemny</t>
  </si>
  <si>
    <t>olej opałowy</t>
  </si>
  <si>
    <t>węgiel</t>
  </si>
  <si>
    <t>energia elektryczna</t>
  </si>
  <si>
    <t>ciepło sieciowe</t>
  </si>
  <si>
    <t>gaz płynny</t>
  </si>
  <si>
    <t>ograniczenie emisji 
(Mg CO2/rok)</t>
  </si>
  <si>
    <t>inne</t>
  </si>
  <si>
    <t>nowe źródło ciepła</t>
  </si>
  <si>
    <t>zastępowane źródło</t>
  </si>
  <si>
    <t>uzysk (GJ/kWt)</t>
  </si>
  <si>
    <t>produkcja (GJ)</t>
  </si>
  <si>
    <t>moc (kWt)</t>
  </si>
  <si>
    <t>wskaźnik emisji 
(kg CO2/GJ)</t>
  </si>
  <si>
    <t>Typ budynku</t>
  </si>
  <si>
    <t>wolnostojący</t>
  </si>
  <si>
    <t>szeregowiec</t>
  </si>
  <si>
    <t>bliźniak</t>
  </si>
  <si>
    <t>Rok budowy</t>
  </si>
  <si>
    <t>Źródło ciepła</t>
  </si>
  <si>
    <t>gaz</t>
  </si>
  <si>
    <t>pelet</t>
  </si>
  <si>
    <t>sieć ciepłownicza</t>
  </si>
  <si>
    <t>prąd</t>
  </si>
  <si>
    <t>Ilość zużywanego nośnika rocznie [Mg] w przyp. gazu i oleju [m3]</t>
  </si>
  <si>
    <t>brak</t>
  </si>
  <si>
    <t>kompletna</t>
  </si>
  <si>
    <t>częściowa</t>
  </si>
  <si>
    <t>Wskażnik energo (kWh/m2*rok)</t>
  </si>
  <si>
    <t>% powierzchni</t>
  </si>
  <si>
    <t>Do 1 966</t>
  </si>
  <si>
    <t>270-350</t>
  </si>
  <si>
    <t>1967-1985</t>
  </si>
  <si>
    <t>240-280</t>
  </si>
  <si>
    <t>1986-1992</t>
  </si>
  <si>
    <t>160-200</t>
  </si>
  <si>
    <t>1993-1996</t>
  </si>
  <si>
    <t>120-160</t>
  </si>
  <si>
    <t>Od 1997</t>
  </si>
  <si>
    <t>90-120</t>
  </si>
  <si>
    <t>oblicz</t>
  </si>
  <si>
    <t>Zużycie energii na co [GJ]</t>
  </si>
  <si>
    <t>mnożnik</t>
  </si>
  <si>
    <t>V</t>
  </si>
  <si>
    <t>L</t>
  </si>
  <si>
    <t>osoby</t>
  </si>
  <si>
    <t>Cw</t>
  </si>
  <si>
    <t>tuz</t>
  </si>
  <si>
    <t>czas uzytkowania</t>
  </si>
  <si>
    <t>kt</t>
  </si>
  <si>
    <t>mnoznik korekcyjny</t>
  </si>
  <si>
    <t>gest</t>
  </si>
  <si>
    <t>1000 kg/m3</t>
  </si>
  <si>
    <t>delta t</t>
  </si>
  <si>
    <t xml:space="preserve"> = 55-10</t>
  </si>
  <si>
    <t>wsp. Wykorzyst.</t>
  </si>
  <si>
    <t>kWh/rok</t>
  </si>
  <si>
    <t>Q=</t>
  </si>
  <si>
    <t>MWh/rok</t>
  </si>
  <si>
    <t>GJ/rok</t>
  </si>
  <si>
    <t>PM 10</t>
  </si>
  <si>
    <t>PM 2,5</t>
  </si>
  <si>
    <t>Co2</t>
  </si>
  <si>
    <t>BaP</t>
  </si>
  <si>
    <t>S02</t>
  </si>
  <si>
    <t>N0x</t>
  </si>
  <si>
    <t>CO</t>
  </si>
  <si>
    <t>poniżej 50 kW</t>
  </si>
  <si>
    <t>mpec</t>
  </si>
  <si>
    <t>Zanieczyszenie</t>
  </si>
  <si>
    <t>Olej opałowy</t>
  </si>
  <si>
    <t>termo</t>
  </si>
  <si>
    <t>Źródło cwu jeśli inne niż co</t>
  </si>
  <si>
    <t>drewno</t>
  </si>
  <si>
    <t>Emisja z CO lub CO+CWU</t>
  </si>
  <si>
    <t>Emisja z CWU - oddzielne źródło</t>
  </si>
  <si>
    <t>Emisja łącznie</t>
  </si>
  <si>
    <t>Rok produkcji kotła</t>
  </si>
  <si>
    <t>Moc kotła [kW]</t>
  </si>
  <si>
    <t>Czy jest OŹE</t>
  </si>
  <si>
    <t>Oźe</t>
  </si>
  <si>
    <t xml:space="preserve">tak </t>
  </si>
  <si>
    <t>nie</t>
  </si>
  <si>
    <t>Jeśli tak wskaż typ</t>
  </si>
  <si>
    <t>wiatrak przydomowy</t>
  </si>
  <si>
    <t>ogniwa fotowoltaiczne</t>
  </si>
  <si>
    <t>GWC</t>
  </si>
  <si>
    <t>kocioł gazowy</t>
  </si>
  <si>
    <t>kocioł olejowy</t>
  </si>
  <si>
    <t>-</t>
  </si>
  <si>
    <t>Zużycie energii na cwu [GJ] jeśli inne źródło</t>
  </si>
  <si>
    <t>kWh</t>
  </si>
  <si>
    <t>MWh</t>
  </si>
  <si>
    <t>GJ</t>
  </si>
  <si>
    <t>CO2</t>
  </si>
  <si>
    <t>Ulica</t>
  </si>
  <si>
    <t xml:space="preserve">nr </t>
  </si>
  <si>
    <t>nowoczesny kocioł węglowy</t>
  </si>
  <si>
    <t xml:space="preserve">pompa ciepła </t>
  </si>
  <si>
    <t>Pow</t>
  </si>
  <si>
    <t>Niwka</t>
  </si>
  <si>
    <t>Zabawa</t>
  </si>
  <si>
    <t>Biskupice Radłowskie Bohaterów Wrzesnia</t>
  </si>
  <si>
    <t>tak</t>
  </si>
  <si>
    <t>nie wiem</t>
  </si>
  <si>
    <t>Zużycie energii elektrycznej cele inne niż co oraz cwu [MWh]</t>
  </si>
  <si>
    <t>ODSETEK W LATACH I ODSETEK TERMO</t>
  </si>
  <si>
    <t>co</t>
  </si>
  <si>
    <t>do 1966</t>
  </si>
  <si>
    <t>% termo</t>
  </si>
  <si>
    <t xml:space="preserve">gaz </t>
  </si>
  <si>
    <t>olej</t>
  </si>
  <si>
    <t>Zużycie energii cieplnej łącznie [GJ]</t>
  </si>
  <si>
    <t>łącznie</t>
  </si>
  <si>
    <t>efektywn z 1m2 kol sł</t>
  </si>
  <si>
    <t>cz</t>
  </si>
  <si>
    <t>mieszk</t>
  </si>
  <si>
    <t>pow mieszk</t>
  </si>
  <si>
    <t>paliwa w gminie ankiety</t>
  </si>
  <si>
    <t>cała gmina</t>
  </si>
  <si>
    <t>wiek budynków</t>
  </si>
  <si>
    <t>odsetek termo</t>
  </si>
  <si>
    <t>OŹE (kolektory sloneczne)</t>
  </si>
  <si>
    <t>Energia elektryczna</t>
  </si>
  <si>
    <t>szt</t>
  </si>
  <si>
    <t>MWh/dom</t>
  </si>
  <si>
    <t>gospo</t>
  </si>
  <si>
    <t>MWh/os</t>
  </si>
  <si>
    <t>os/gosp</t>
  </si>
  <si>
    <t>CO2*</t>
  </si>
  <si>
    <t>Sektor</t>
  </si>
  <si>
    <t>Udział procentowy</t>
  </si>
  <si>
    <t>Łącznie</t>
  </si>
  <si>
    <t xml:space="preserve">Oświetlenie uliczne - energia elektryczna </t>
  </si>
  <si>
    <t>Transport - energia zawarta w paliwach</t>
  </si>
  <si>
    <t>MW</t>
  </si>
  <si>
    <t>paliwa transportowe</t>
  </si>
  <si>
    <t xml:space="preserve">Nośnik energii </t>
  </si>
  <si>
    <t>Substancja</t>
  </si>
  <si>
    <t>NOx</t>
  </si>
  <si>
    <t>Ilość [Mg/rok]</t>
  </si>
  <si>
    <r>
      <t>SO</t>
    </r>
    <r>
      <rPr>
        <b/>
        <vertAlign val="subscript"/>
        <sz val="10"/>
        <rFont val="Calibri"/>
        <family val="2"/>
        <charset val="238"/>
      </rPr>
      <t>2</t>
    </r>
  </si>
  <si>
    <t>Przemysł</t>
  </si>
  <si>
    <t>Transport publiczny i prywatny</t>
  </si>
  <si>
    <t>Oświetlenie uliczne</t>
  </si>
  <si>
    <t>koszt ośw ul.</t>
  </si>
  <si>
    <t>zł/kWh</t>
  </si>
  <si>
    <t>Wskaźnik emisji CO2 [Mg/GJ]</t>
  </si>
  <si>
    <t>Wskaźnik emisji CO2 [Mg/MWh]</t>
  </si>
  <si>
    <t>Emisja CO2 [Mg/rok]</t>
  </si>
  <si>
    <t>spr</t>
  </si>
  <si>
    <t>Nazwa budynku</t>
  </si>
  <si>
    <t>Wybierz</t>
  </si>
  <si>
    <t>Lokalizacja</t>
  </si>
  <si>
    <r>
      <t>Powierzchnia
ogrzewana  (m</t>
    </r>
    <r>
      <rPr>
        <b/>
        <vertAlign val="superscript"/>
        <sz val="5"/>
        <color theme="1"/>
        <rFont val="Czcionka tekstu podstawowego"/>
        <charset val="238"/>
      </rPr>
      <t>2</t>
    </r>
    <r>
      <rPr>
        <b/>
        <sz val="5"/>
        <color theme="1"/>
        <rFont val="Czcionka tekstu podstawowego"/>
        <charset val="238"/>
      </rPr>
      <t xml:space="preserve">)
</t>
    </r>
    <r>
      <rPr>
        <b/>
        <sz val="8"/>
        <color theme="1"/>
        <rFont val="Czcionka tekstu podstawowego"/>
        <charset val="238"/>
      </rPr>
      <t/>
    </r>
  </si>
  <si>
    <t>Ociepl. ścian</t>
  </si>
  <si>
    <t>Ociepl. stropu</t>
  </si>
  <si>
    <t>Okna</t>
  </si>
  <si>
    <t>Liczba osób</t>
  </si>
  <si>
    <t>Produkcja energii pierwotnej [GJ]</t>
  </si>
  <si>
    <t xml:space="preserve">Zużycie energii elektr. łącznie [MWh/rok]              </t>
  </si>
  <si>
    <t>Oświetlenie [MWh/rok]</t>
  </si>
  <si>
    <t>Zaintere- sowanie wymianą źródła ciepła</t>
  </si>
  <si>
    <t>Data planowanej inwestycji</t>
  </si>
  <si>
    <t>Planowana termom.</t>
  </si>
  <si>
    <t>Audyt eneregtyczny</t>
  </si>
  <si>
    <t>szk</t>
  </si>
  <si>
    <t>nowe</t>
  </si>
  <si>
    <t xml:space="preserve">stare </t>
  </si>
  <si>
    <t>usługi</t>
  </si>
  <si>
    <t>sport,rekr</t>
  </si>
  <si>
    <t>Oświetlenie uliczne - emisja zanieczyszczeń wraz ze zużyciem energii elektrycznej</t>
  </si>
  <si>
    <t>Lata budowy</t>
  </si>
  <si>
    <t>Wskaźniki ciepła woda</t>
  </si>
  <si>
    <t>prąd [SEAP]</t>
  </si>
  <si>
    <t>prąd [SEAP] Mg/MWh</t>
  </si>
  <si>
    <t>Zmniejszenie zużycia energii</t>
  </si>
  <si>
    <t>Pow. [m2]</t>
  </si>
  <si>
    <t>L.os.</t>
  </si>
  <si>
    <t>Zużycie energii pierwotnej [GJ]</t>
  </si>
  <si>
    <t>OŹE kol. słon.</t>
  </si>
  <si>
    <t>Emisja łącznie [Mg/rok]</t>
  </si>
  <si>
    <t>Dane do obliczeń emisji</t>
  </si>
  <si>
    <t>Suma:</t>
  </si>
  <si>
    <t>*CO2 podane w setkach ton</t>
  </si>
  <si>
    <t xml:space="preserve">Energia pierwotna w gminie pochodząca z danego nośnika wg ankiet </t>
  </si>
  <si>
    <t>[GJ]</t>
  </si>
  <si>
    <t>[%]</t>
  </si>
  <si>
    <t>Nośnik energii</t>
  </si>
  <si>
    <t>wsp.energochł. zakres [kWh/m2*rok]</t>
  </si>
  <si>
    <t>Termomoderni-zacja</t>
  </si>
  <si>
    <t>Baza emisji zanieczyszczeń dla sektora przemysłowego (na podstawie otrzymanych zwrotnie ankiet)</t>
  </si>
  <si>
    <t>Diesel</t>
  </si>
  <si>
    <t>Benzyna</t>
  </si>
  <si>
    <t>motocykle</t>
  </si>
  <si>
    <t>LPG</t>
  </si>
  <si>
    <t>osobowy</t>
  </si>
  <si>
    <t>B(a)P</t>
  </si>
  <si>
    <t>Olej napędowy</t>
  </si>
  <si>
    <t xml:space="preserve">Benzyna </t>
  </si>
  <si>
    <t>Emisja SO2 kg</t>
  </si>
  <si>
    <t>Emisja B(a)P g</t>
  </si>
  <si>
    <t>Emisja PM 10 kg</t>
  </si>
  <si>
    <t>Emisja PM 2,5 kg</t>
  </si>
  <si>
    <t>Emisja NOX kg</t>
  </si>
  <si>
    <t>Emisja CO kg</t>
  </si>
  <si>
    <t>Wyliczone zużycie paliwa kg</t>
  </si>
  <si>
    <t>SO2</t>
  </si>
  <si>
    <t>Wyliczona liczba przejechanych kilometrów</t>
  </si>
  <si>
    <t>diesel</t>
  </si>
  <si>
    <t>benzyna</t>
  </si>
  <si>
    <t>Gęstość paliw napędowych</t>
  </si>
  <si>
    <t>Średnie zużycie paliwa g/km</t>
  </si>
  <si>
    <t>osobowe</t>
  </si>
  <si>
    <t>Ogółem</t>
  </si>
  <si>
    <t xml:space="preserve">Rozkład pojazdów ( % ogólnej liczby przejechanych km ) ustalony na etapie gromadzenia danych </t>
  </si>
  <si>
    <t>Razem</t>
  </si>
  <si>
    <t>Autobusy</t>
  </si>
  <si>
    <t>Samochody ciężarowe</t>
  </si>
  <si>
    <t>Lekkie samochody ciężarowe</t>
  </si>
  <si>
    <t>Motocykle</t>
  </si>
  <si>
    <t>Samochody osobowe i mikrobusy</t>
  </si>
  <si>
    <t>razem</t>
  </si>
  <si>
    <t>Udział tranzytu i ruchu miejscowego w bilansie gminy</t>
  </si>
  <si>
    <t>Rodzaj</t>
  </si>
  <si>
    <t>Wskaźniki emisji dla poszczególnych zanieczyszczeń [g/kg]</t>
  </si>
  <si>
    <t>Paliwo</t>
  </si>
  <si>
    <t>lekki ciężarowy</t>
  </si>
  <si>
    <t>ciężarowy</t>
  </si>
  <si>
    <t>Opisy</t>
  </si>
  <si>
    <t>Obliczeniowe zużycie paliw [kg]</t>
  </si>
  <si>
    <t>Wartość opałowa [MJ/kg]</t>
  </si>
  <si>
    <t>[g/dm3]</t>
  </si>
  <si>
    <t>[kg/m3]</t>
  </si>
  <si>
    <t>Budynki komunalne (gminne) - energia elektryczna (bez ogrzewania)</t>
  </si>
  <si>
    <t>Budynki komunalne (gminne) - potrzeby grzewcze</t>
  </si>
  <si>
    <t>Zużycie energii w ujęciu globalnym - wszystkie sektory w gminie</t>
  </si>
  <si>
    <t>Budynki usługowo-użytkowe - potrzeby grzewcze</t>
  </si>
  <si>
    <t>Budynki komunalne (gminne)</t>
  </si>
  <si>
    <t>Budynki usługowo-użytkowe</t>
  </si>
  <si>
    <t>Struktura zużycia paliw z wykorzystaniem OŹE w ujęciu globalnym - wszystkie sektory w gminie</t>
  </si>
  <si>
    <t>Założenia do obliczeń oraz listy wybieralne</t>
  </si>
  <si>
    <t>Oświetlenie wskaźniki</t>
  </si>
  <si>
    <t>Mg/CO2 na MWh</t>
  </si>
  <si>
    <t>MWh/m2*rok</t>
  </si>
  <si>
    <t>podst. W/m2</t>
  </si>
  <si>
    <t>podst [MWh/m2*rok]</t>
  </si>
  <si>
    <t>rozszerz.</t>
  </si>
  <si>
    <t>pełny</t>
  </si>
  <si>
    <t>to [h/rok]</t>
  </si>
  <si>
    <t>urz</t>
  </si>
  <si>
    <t>szpit</t>
  </si>
  <si>
    <t>Ocielenie stropu</t>
  </si>
  <si>
    <t>częściowe</t>
  </si>
  <si>
    <t>Ocieplenie ścian</t>
  </si>
  <si>
    <t>Mnożnik</t>
  </si>
  <si>
    <t>kocioł węglowy</t>
  </si>
  <si>
    <t>Mg/GJ</t>
  </si>
  <si>
    <t>Okna i drzwi</t>
  </si>
  <si>
    <t>Koszty energii elektrycznej [zł/rok]</t>
  </si>
  <si>
    <t>Zużycie wody [m3/rok]</t>
  </si>
  <si>
    <t>Koszty wody [zł/rok]</t>
  </si>
  <si>
    <t>Wartości opałowe* [GJ/Mg]</t>
  </si>
  <si>
    <t xml:space="preserve">**obliczono po przyjęciu uśrednionych sprawności urządzeń grzewczych oraz średnich cen nośników energii wg cenników dostawców </t>
  </si>
  <si>
    <t>Koszt w zł uzyskania 1 GJ ciepła z danego nośnika**</t>
  </si>
  <si>
    <t>Koszty energii cieplnej (c.o.) [zł/rok]</t>
  </si>
  <si>
    <t>Koszty energii cieplnej (c.w.u) w przypadku oddzielnego źródła [zł/rok]</t>
  </si>
  <si>
    <t>Uśredniony koszt za 1 kWh energii elektrycznej w gminie [zł]</t>
  </si>
  <si>
    <t>Wsp. energochł. rzeczywisty [kWh/m2*rok]</t>
  </si>
  <si>
    <t xml:space="preserve"> Zaopatrzenie ludności w wodę, cena za dostarczanie 1 m 3 wody (Wod-Kan Kielce) 
</t>
  </si>
  <si>
    <t>Przeciętne normy zużycia wody na jednego mieszkańca w gospodarstwach domowych [m3/mies.]</t>
  </si>
  <si>
    <t>Przeciętne normy zużycia wody na os. - instytucje, zakłady [m3/mies.]</t>
  </si>
  <si>
    <t>pow łącznie</t>
  </si>
  <si>
    <t>OŹE</t>
  </si>
  <si>
    <t>gosp.dom.</t>
  </si>
  <si>
    <t>szkoły, urzędy</t>
  </si>
  <si>
    <t>*żródło KOBIZE 2015, uśrednione na podstawie obliczeń własnych, dla gazu współczynnik konwersji [GJ/m3] wg PGNiG, dla oleju [GJ/m3]</t>
  </si>
  <si>
    <t>Ilość paneli</t>
  </si>
  <si>
    <t>Budynki komunalne, urządzenia (gminne) - energia elektryczna (bez ogrzewania)</t>
  </si>
  <si>
    <t>Emisja CO2 Mg</t>
  </si>
  <si>
    <t>Przeliczenie na 1 km</t>
  </si>
  <si>
    <t>Liczba przejechanych kilometrów rocznie [km]</t>
  </si>
  <si>
    <t>GJ/m3</t>
  </si>
  <si>
    <t>Budynki usługowo-użytkowe -energia elektryczna (bez ogrzewania)</t>
  </si>
  <si>
    <t>Budynki usługowo-użytkowe - energia elektryczna</t>
  </si>
  <si>
    <t>cwu</t>
  </si>
  <si>
    <t>nośnik</t>
  </si>
  <si>
    <t>średnia</t>
  </si>
  <si>
    <t>ocieplenie ścian</t>
  </si>
  <si>
    <t>wymiana okien</t>
  </si>
  <si>
    <t>częściowa wymiana</t>
  </si>
  <si>
    <t>tak, z dofinansowaniem</t>
  </si>
  <si>
    <t>Baza emisji zanieczyszczeń dla sektora produkcyjnego i przemysłowego (na podstawie ankiet od przedsiębiorców)</t>
  </si>
  <si>
    <t>Nazwa zakładu</t>
  </si>
  <si>
    <t>Źródło ciepła lub ciepła technologicznego (nośnik)</t>
  </si>
  <si>
    <t>Ilość zużywanego nośnika rocznie (technologia, c.o.) [Mg] w przyp. gazu i oleju [m3]</t>
  </si>
  <si>
    <t>Charakterystyka źródła ciepła</t>
  </si>
  <si>
    <t>Zużycie energii  łącznie (technologia,ogrzewanie) [GJ]</t>
  </si>
  <si>
    <t xml:space="preserve">Energii elektr. łącznie moc zamówiona [MW]              </t>
  </si>
  <si>
    <t>Ciepło odpadowe (technologia)</t>
  </si>
  <si>
    <t>Ciepło odpadowe [GJ]</t>
  </si>
  <si>
    <t>sieć</t>
  </si>
  <si>
    <t>SUMA:</t>
  </si>
  <si>
    <t>uśrednione</t>
  </si>
  <si>
    <t xml:space="preserve">sieć </t>
  </si>
  <si>
    <t>kol.słon.</t>
  </si>
  <si>
    <t>oźe (kolektory słoneczne)</t>
  </si>
  <si>
    <t>energia el.</t>
  </si>
  <si>
    <t>kocioł na biomasę</t>
  </si>
  <si>
    <t>OŹE (pompy ciepła)</t>
  </si>
  <si>
    <t>oźe (pompy ciepła)</t>
  </si>
  <si>
    <t>*CO2 podane w setkach ton, **ilość BaP na wykresie w kg</t>
  </si>
  <si>
    <t>*ilośc CO2 podana w setkach ton</t>
  </si>
  <si>
    <t>Miejscowość</t>
  </si>
  <si>
    <t>sztuk</t>
  </si>
  <si>
    <t>zł</t>
  </si>
  <si>
    <t>Qgosp.dom.=</t>
  </si>
  <si>
    <t>Qszkoły,urzędy=</t>
  </si>
  <si>
    <t>Wskaźniki emisji dla kotłów &lt;50 kW</t>
  </si>
  <si>
    <t>Zanieczyszczenie</t>
  </si>
  <si>
    <t>Wskaźniki emisji (źródła &gt;50kW)</t>
  </si>
  <si>
    <t>miano</t>
  </si>
  <si>
    <t>Paliwo stałe</t>
  </si>
  <si>
    <t>Gaz ziemny</t>
  </si>
  <si>
    <t>Biomasa drewno</t>
  </si>
  <si>
    <t>(z wyłączeniem biomasy)</t>
  </si>
  <si>
    <t>Kotły starej generacji</t>
  </si>
  <si>
    <t>Kotły automatyczne nowej generacji</t>
  </si>
  <si>
    <t>Pył PM 10,</t>
  </si>
  <si>
    <t>g/GJ</t>
  </si>
  <si>
    <t>Pył PM 2,5</t>
  </si>
  <si>
    <r>
      <t>CO</t>
    </r>
    <r>
      <rPr>
        <vertAlign val="subscript"/>
        <sz val="8"/>
        <color theme="1"/>
        <rFont val="Calibri"/>
        <family val="2"/>
        <charset val="238"/>
        <scheme val="minor"/>
      </rPr>
      <t>2</t>
    </r>
  </si>
  <si>
    <t>kg/GJ</t>
  </si>
  <si>
    <t>Benzo(a)piren</t>
  </si>
  <si>
    <t>mg/GJ</t>
  </si>
  <si>
    <t>no</t>
  </si>
  <si>
    <r>
      <t>SO</t>
    </r>
    <r>
      <rPr>
        <vertAlign val="subscript"/>
        <sz val="8"/>
        <color theme="1"/>
        <rFont val="Calibri"/>
        <family val="2"/>
        <charset val="238"/>
        <scheme val="minor"/>
      </rPr>
      <t>2</t>
    </r>
  </si>
  <si>
    <r>
      <t>NO</t>
    </r>
    <r>
      <rPr>
        <vertAlign val="subscript"/>
        <sz val="8"/>
        <color theme="1"/>
        <rFont val="Calibri"/>
        <family val="2"/>
        <charset val="238"/>
        <scheme val="minor"/>
      </rPr>
      <t>x</t>
    </r>
  </si>
  <si>
    <t>Wskaźniki emisji (źródła &lt;50kW)</t>
  </si>
  <si>
    <t>Wskaźniki emisji</t>
  </si>
  <si>
    <r>
      <t>CO</t>
    </r>
    <r>
      <rPr>
        <vertAlign val="subscript"/>
        <sz val="10"/>
        <color theme="1"/>
        <rFont val="Times New Roman"/>
        <family val="1"/>
        <charset val="238"/>
      </rPr>
      <t>2</t>
    </r>
  </si>
  <si>
    <r>
      <t>SO</t>
    </r>
    <r>
      <rPr>
        <vertAlign val="subscript"/>
        <sz val="10"/>
        <color theme="1"/>
        <rFont val="Times New Roman"/>
        <family val="1"/>
        <charset val="238"/>
      </rPr>
      <t>2</t>
    </r>
  </si>
  <si>
    <r>
      <t>NO</t>
    </r>
    <r>
      <rPr>
        <vertAlign val="subscript"/>
        <sz val="10"/>
        <color theme="1"/>
        <rFont val="Times New Roman"/>
        <family val="1"/>
        <charset val="238"/>
      </rPr>
      <t>x</t>
    </r>
  </si>
  <si>
    <t>&gt;50 kW</t>
  </si>
  <si>
    <t>kW - przeliczenie na podst powierzchni - wksaxnik 100W/m</t>
  </si>
  <si>
    <t>przeliczenie z Gj na kW</t>
  </si>
  <si>
    <t>pompy ciepła</t>
  </si>
  <si>
    <t>Budynki gminne</t>
  </si>
  <si>
    <t>Budynki - działalność gospodarcza</t>
  </si>
  <si>
    <t xml:space="preserve">Oświetlenie </t>
  </si>
  <si>
    <t>Transport</t>
  </si>
  <si>
    <t>kW</t>
  </si>
  <si>
    <t>1.</t>
  </si>
  <si>
    <t>Udział</t>
  </si>
  <si>
    <t>Planowana</t>
  </si>
  <si>
    <t>energooszczędne</t>
  </si>
  <si>
    <t>starego typu</t>
  </si>
  <si>
    <t>Uwagi odnośnie termomodernizacji</t>
  </si>
  <si>
    <t>ocieplenie stropu/stropodachu</t>
  </si>
  <si>
    <t>wymiana źródła ciepła</t>
  </si>
  <si>
    <t>wymiana drzwi</t>
  </si>
  <si>
    <t>głęboka termomodernizacja</t>
  </si>
  <si>
    <t xml:space="preserve">Plany inwestycyjne </t>
  </si>
  <si>
    <t>wymiana/modernizacja  oświetlenia</t>
  </si>
  <si>
    <t>modernizacja linii technologicznej</t>
  </si>
  <si>
    <t>wymiana / zakup energooszczednych pojazdów</t>
  </si>
  <si>
    <t>2.</t>
  </si>
  <si>
    <t>Rok produkcji kotła / opis przeznaczenia i stanu technicznego</t>
  </si>
  <si>
    <t>Zużycie energii elektrycznej cele inne niż co oraz cwu [MWh/rok]</t>
  </si>
  <si>
    <t>[GJ/rok]</t>
  </si>
  <si>
    <t>PM10</t>
  </si>
  <si>
    <t>PM2,5</t>
  </si>
  <si>
    <r>
      <t>SO</t>
    </r>
    <r>
      <rPr>
        <b/>
        <sz val="7"/>
        <color theme="1"/>
        <rFont val="Czcionka tekstu podstawowego"/>
        <charset val="238"/>
      </rPr>
      <t>2</t>
    </r>
  </si>
  <si>
    <r>
      <t>N0</t>
    </r>
    <r>
      <rPr>
        <b/>
        <sz val="7"/>
        <color theme="1"/>
        <rFont val="Czcionka tekstu podstawowego"/>
        <charset val="238"/>
      </rPr>
      <t>X</t>
    </r>
  </si>
  <si>
    <t>Ilość energi w zużywanym nośniku [GJ/rok]</t>
  </si>
  <si>
    <t>Zużycie energii końcowej [GJ/rok]</t>
  </si>
  <si>
    <t>elektrownia wiatrowa</t>
  </si>
  <si>
    <t>Charakterystyka systemu odzysku ciepła odpadowego</t>
  </si>
  <si>
    <t>Ilośc km SDR drogi gminne i powiatowe</t>
  </si>
  <si>
    <t>kolekt</t>
  </si>
  <si>
    <t>ogrzewanie elektryczne</t>
  </si>
  <si>
    <t>Budynki mieszkalne jednorodzinne - potrzeby grzewcze</t>
  </si>
  <si>
    <t>Budynki mieszkalne wielorodzinne - potrzeby grzewcze</t>
  </si>
  <si>
    <t xml:space="preserve">Budynki mieszkalne jednorodzinne </t>
  </si>
  <si>
    <t xml:space="preserve">Budynki mieszkalne wielorodzinne </t>
  </si>
  <si>
    <t>&gt;50kW</t>
  </si>
  <si>
    <t>OŹE (kolektory słoneczne)</t>
  </si>
  <si>
    <t>Ilość energii pochodząca z danego nośnika [GJ/rok]</t>
  </si>
  <si>
    <t>Mieszkalne jednorodz.</t>
  </si>
  <si>
    <t>Mieszkalne wielorodz.</t>
  </si>
  <si>
    <t>Baza emisji zanieczyszczeń dla sektora budynków i urządzeń komunalnych (gminnych) wraz ze zużyciem energii końcowej</t>
  </si>
  <si>
    <t>Termomodernizacja</t>
  </si>
  <si>
    <t>Termomo-dernizacja</t>
  </si>
  <si>
    <t>drewno kawałkowe</t>
  </si>
  <si>
    <t>Zużycie energii elektrycznej [MWh/rok]</t>
  </si>
  <si>
    <t>Rok bazowy 2015</t>
  </si>
  <si>
    <t>termomo-dernizacja</t>
  </si>
  <si>
    <t>Zużycie energii końcowej  [GJ/rok]</t>
  </si>
  <si>
    <t>Ilość energii końcowej [GJ/rok]</t>
  </si>
  <si>
    <t>Emisja zanieczyszczeń w gminie  - wszystkie sektory w gminie</t>
  </si>
  <si>
    <t>Szkoła Podstawowa</t>
  </si>
  <si>
    <t>Przedszkole Samorządowe</t>
  </si>
  <si>
    <t>brak ogrzewania</t>
  </si>
  <si>
    <t>Wskaźniki emisji dla kotłów &gt;50 kW</t>
  </si>
  <si>
    <t>PRZELICZENIE JEDNOSTEK</t>
  </si>
  <si>
    <t>*żródło KOBIZE 2015, gaz wg danych PGNiG, olej opałowy - wartość opałowa przeliczona ze średniej gęstości oleju i wartości opałowej z Kobize</t>
  </si>
  <si>
    <t>&lt;50 kW</t>
  </si>
  <si>
    <t>Zużycie energii [GJ]</t>
  </si>
  <si>
    <t>Odsetek kotłów &lt;50 kW</t>
  </si>
  <si>
    <t>Energia z kotłów &lt;50 kW</t>
  </si>
  <si>
    <t>Energia z  kotłów &gt;= 50 kW</t>
  </si>
  <si>
    <t>Emisja z kotłów &lt; 50 kW</t>
  </si>
  <si>
    <t>Suma całkowitego natężenia promieniowania słonecznego na powierzchnie o orientacji  SE oraz pochyleniu do poziomu  45º,</t>
  </si>
  <si>
    <t>kWh/m2*rok</t>
  </si>
  <si>
    <t>Uśredniona sprawność konwersji energii słonecznej na cieplną (kolektory słoneczne)</t>
  </si>
  <si>
    <t>Uśredniona sprawność konwersji energii słonecznej na energie elektryczną (panele fotowoltaiczne)</t>
  </si>
  <si>
    <t>(dane ze stacji meteorologicznej Toruń)</t>
  </si>
  <si>
    <t>(wartość na podstawie danych producentów kolektorów)</t>
  </si>
  <si>
    <t>(wartość na podstawie danych producentów paneli)</t>
  </si>
  <si>
    <t>Kolumny pomocnicze</t>
  </si>
  <si>
    <r>
      <t>BaP</t>
    </r>
    <r>
      <rPr>
        <b/>
        <sz val="10"/>
        <color theme="0" tint="-0.14999847407452621"/>
        <rFont val="Czcionka tekstu podstawowego"/>
        <charset val="238"/>
      </rPr>
      <t>**</t>
    </r>
  </si>
  <si>
    <r>
      <t>CO</t>
    </r>
    <r>
      <rPr>
        <b/>
        <sz val="6"/>
        <color theme="1"/>
        <rFont val="Czcionka tekstu podstawowego"/>
        <charset val="238"/>
      </rPr>
      <t>2</t>
    </r>
    <r>
      <rPr>
        <b/>
        <sz val="10"/>
        <color theme="0" tint="-0.14999847407452621"/>
        <rFont val="Czcionka tekstu podstawowego"/>
        <charset val="238"/>
      </rPr>
      <t>*</t>
    </r>
  </si>
  <si>
    <t>Zużycie spr.</t>
  </si>
  <si>
    <t>kolumny pomocnicze - sprawdzenie</t>
  </si>
  <si>
    <t>Emisja z kotłów &gt;50 kW</t>
  </si>
  <si>
    <t>KOLUMNY POMOCNICZE</t>
  </si>
  <si>
    <t>Zużycie energii cieplnej  [GJ/rok]</t>
  </si>
  <si>
    <t>Kolumna pomocnicza</t>
  </si>
  <si>
    <t>Baza danych dla sektora budynków mieszkalnych jednorodzinnych na podstawie ankiet</t>
  </si>
  <si>
    <t>Ilość zużywanego nośnika rocznie [Mg], w przypadku gazu (LPG) w l</t>
  </si>
  <si>
    <t>Struktura zużycia paliw w gminie - weryfikacja</t>
  </si>
  <si>
    <t>Łączne zużycie</t>
  </si>
  <si>
    <t>paliwa w gminie wg ankiet met. 1</t>
  </si>
  <si>
    <t>paliwa w gminie wg ankiet met. 2</t>
  </si>
  <si>
    <t>Odsetek powierzchni z termo</t>
  </si>
  <si>
    <t>Powierzchnia mieszkalna - cały sektor [m2]</t>
  </si>
  <si>
    <t>Powierzchnia mieszkalna wg ankiet [m2]</t>
  </si>
  <si>
    <t>Zużycie energii wg ankiet [GJ/rok]</t>
  </si>
  <si>
    <t>kolektor słoneczny</t>
  </si>
  <si>
    <t>Odsetek powierzchni z poszczególnych lat</t>
  </si>
  <si>
    <t>Ilość km SDR drogi wojewódzkie</t>
  </si>
  <si>
    <t>Transport prywatny i komercyjny</t>
  </si>
  <si>
    <t>Gminny transport drogowy:</t>
  </si>
  <si>
    <t>Energia końcowa [GJ/rok]</t>
  </si>
  <si>
    <t>Sektor transportu</t>
  </si>
  <si>
    <t>Prywatny</t>
  </si>
  <si>
    <t>ilość [kg]</t>
  </si>
  <si>
    <t>ilość [l]</t>
  </si>
  <si>
    <r>
      <t>CO</t>
    </r>
    <r>
      <rPr>
        <b/>
        <vertAlign val="subscript"/>
        <sz val="8"/>
        <rFont val="Calibri"/>
        <family val="2"/>
        <charset val="238"/>
      </rPr>
      <t>2</t>
    </r>
    <r>
      <rPr>
        <b/>
        <vertAlign val="subscript"/>
        <sz val="8"/>
        <color theme="0" tint="-0.14999847407452621"/>
        <rFont val="Calibri"/>
        <family val="2"/>
        <charset val="238"/>
      </rPr>
      <t>*</t>
    </r>
  </si>
  <si>
    <r>
      <t>BaP</t>
    </r>
    <r>
      <rPr>
        <b/>
        <sz val="8"/>
        <color theme="0" tint="-0.14999847407452621"/>
        <rFont val="Calibri"/>
        <family val="2"/>
        <charset val="238"/>
      </rPr>
      <t>**</t>
    </r>
  </si>
  <si>
    <r>
      <t>SO</t>
    </r>
    <r>
      <rPr>
        <b/>
        <vertAlign val="subscript"/>
        <sz val="8"/>
        <rFont val="Calibri"/>
        <family val="2"/>
        <charset val="238"/>
      </rPr>
      <t>2</t>
    </r>
  </si>
  <si>
    <t>Łącznie gmina</t>
  </si>
  <si>
    <t>gminny (ON)</t>
  </si>
  <si>
    <t>gminny  (benz.)</t>
  </si>
  <si>
    <t>Gminny łącznie</t>
  </si>
  <si>
    <t>Wskaźniki ilościowe dla poszczególnych działań w gminie</t>
  </si>
  <si>
    <t>L.p.</t>
  </si>
  <si>
    <t xml:space="preserve">Nazwa działania / Poddziałania </t>
  </si>
  <si>
    <t>Energia końcowa uniknięta  [GJ/rok]</t>
  </si>
  <si>
    <t>Produkcja energii z OŹE  [GJ/rok]</t>
  </si>
  <si>
    <t>Redukcja emisji zanieczyszczeń   [Mg/rok]</t>
  </si>
  <si>
    <t>Działanie 1. Ograniczenie zużycia energii  i wytwarzanie energii z odnawialnych źródeł - budynki i infrastruktura  publiczna.</t>
  </si>
  <si>
    <t>Działanie 1 Razem</t>
  </si>
  <si>
    <t>2.1</t>
  </si>
  <si>
    <t>2.2</t>
  </si>
  <si>
    <t>Działanie 2 Razem</t>
  </si>
  <si>
    <t xml:space="preserve">DZIAŁANIE 3.Ograniczenie zużycia energii i wytwarzanie energii z odnawialnych źródeł - budownictwo mieszkaniowe
</t>
  </si>
  <si>
    <t>Montaż paneli fotowoltaicznych</t>
  </si>
  <si>
    <t>Montaż pomp ciepła</t>
  </si>
  <si>
    <t>Działanie 3 Razem</t>
  </si>
  <si>
    <t>Całkowity efekt ekologiczny</t>
  </si>
  <si>
    <t xml:space="preserve">Wskaźniki ilościowe i jakościowe w odniesieniu do wartości całkowitych w gminie </t>
  </si>
  <si>
    <t>Zakres</t>
  </si>
  <si>
    <t xml:space="preserve">Energia końcowa  w gminie łącznie [GJ/rok] </t>
  </si>
  <si>
    <t>Produkcja energii z OŹE w gminie łącznie [GJ/rok]</t>
  </si>
  <si>
    <t>Emisja zanieczyszczeń  [Mg/rok]</t>
  </si>
  <si>
    <t>Wartości w roku bazowym</t>
  </si>
  <si>
    <t>Wartości w roku 2020</t>
  </si>
  <si>
    <t>Różnica - efekt ekologiczny</t>
  </si>
  <si>
    <t>Redukcja [%] w roku 2020 w stosunku do wartości całkowitych w gminie w roku bazowym (w przypadku OŹE - wzrost)*</t>
  </si>
  <si>
    <t>Prezentacja wyników - końcowe zużycie energii w gminie</t>
  </si>
  <si>
    <t>l.p.</t>
  </si>
  <si>
    <t>kategoria</t>
  </si>
  <si>
    <t>Końcowe zużycie energii [MWh]</t>
  </si>
  <si>
    <t>ciepło/chłód</t>
  </si>
  <si>
    <t>paliwa kopalne</t>
  </si>
  <si>
    <t>energia odnawialna</t>
  </si>
  <si>
    <t>gaz ciekły</t>
  </si>
  <si>
    <t>olej napędowy</t>
  </si>
  <si>
    <t>węgiel brunatny</t>
  </si>
  <si>
    <t>węgiel kamienny</t>
  </si>
  <si>
    <t>inne paliwa koplane</t>
  </si>
  <si>
    <t>olej roślinny</t>
  </si>
  <si>
    <t>biopaliwo</t>
  </si>
  <si>
    <t>inna biomasa</t>
  </si>
  <si>
    <t>słoneczna cieplna</t>
  </si>
  <si>
    <t>geotermiczna</t>
  </si>
  <si>
    <t>BUDYNKI, WYPOSAŻENIE/URZĄDZENIA I PRZEMYSŁ</t>
  </si>
  <si>
    <t>Budynki, wyposażenie/urządzenia komunalne</t>
  </si>
  <si>
    <t>Budynki, wyposażenie/urządzenia usługowe (niekomunlane)</t>
  </si>
  <si>
    <t>Budynki mieszkalne</t>
  </si>
  <si>
    <t>Komunalne oświetlenie publiczne</t>
  </si>
  <si>
    <t>Przemysł ((z wyjątkiem zakładów objętych systemem handlu uprawnieniami do emisji UE – ETS)*</t>
  </si>
  <si>
    <t>RAZEM BUDYNKI, WYPOSAŻENIE/URZĄDZENIA, OŚWIETLENIE I PRZEMYSŁ</t>
  </si>
  <si>
    <t>TRANSPORT</t>
  </si>
  <si>
    <t>Tabor gminny</t>
  </si>
  <si>
    <t>Transport publiczny</t>
  </si>
  <si>
    <t>RAZEM TRANSPORT</t>
  </si>
  <si>
    <t>RAZEM</t>
  </si>
  <si>
    <t>Zużycie energii w przeliczeniu na 1 mieszkańca:</t>
  </si>
  <si>
    <t>Liczba mieszkańców:</t>
  </si>
  <si>
    <t>os.</t>
  </si>
  <si>
    <t>kolumny pomocnicze</t>
  </si>
  <si>
    <t>Ilość energii pochodząca z danego nośnika - przeliczenie [MWh/rok]</t>
  </si>
  <si>
    <t>3a</t>
  </si>
  <si>
    <t>3b</t>
  </si>
  <si>
    <t>jednorodzinne</t>
  </si>
  <si>
    <t>wielorodzinne</t>
  </si>
  <si>
    <t>Budynki mieszkalne w. - energia elektryczna (bez ogrzewania)</t>
  </si>
  <si>
    <t>Budynki mieszkalne j. - energia elektryczna (bez ogrzewania)</t>
  </si>
  <si>
    <t>łącznie:</t>
  </si>
  <si>
    <t>Energia końcowa [MWh/rok]</t>
  </si>
  <si>
    <t>Prezentacja wyników - emisja dwutlenku węgla w gminie</t>
  </si>
  <si>
    <t>Przemysł ((z wyjątkiem zakładów objętych systemem handlu uprawnieniami do emisji UE – ETS)</t>
  </si>
  <si>
    <t>INNE</t>
  </si>
  <si>
    <t>Gospodarowanie odpadami</t>
  </si>
  <si>
    <t>Gospodarowanie ściekami</t>
  </si>
  <si>
    <r>
      <t>Odnośne współczynniki emisji CO</t>
    </r>
    <r>
      <rPr>
        <b/>
        <vertAlign val="subscript"/>
        <sz val="10"/>
        <color theme="0"/>
        <rFont val="Calibri"/>
        <family val="2"/>
        <charset val="238"/>
        <scheme val="minor"/>
      </rPr>
      <t>2</t>
    </r>
    <r>
      <rPr>
        <b/>
        <sz val="10"/>
        <color theme="0"/>
        <rFont val="Calibri"/>
        <family val="2"/>
        <charset val="238"/>
        <scheme val="minor"/>
      </rPr>
      <t xml:space="preserve"> w [t/MWh]</t>
    </r>
  </si>
  <si>
    <r>
      <t>Emisja CO</t>
    </r>
    <r>
      <rPr>
        <b/>
        <vertAlign val="subscript"/>
        <sz val="10"/>
        <color rgb="FFFF0000"/>
        <rFont val="Calibri"/>
        <family val="2"/>
        <charset val="238"/>
        <scheme val="minor"/>
      </rPr>
      <t>2</t>
    </r>
    <r>
      <rPr>
        <b/>
        <sz val="10"/>
        <color rgb="FFFF0000"/>
        <rFont val="Calibri"/>
        <family val="2"/>
        <charset val="238"/>
        <scheme val="minor"/>
      </rPr>
      <t xml:space="preserve"> w przeliczeniu na 1 mieszkańca:</t>
    </r>
  </si>
  <si>
    <t>t</t>
  </si>
  <si>
    <t>Przeliczenie ilości energii cieplnej na cały sektor w gminie</t>
  </si>
  <si>
    <t>Utrzymanie dróg w sposób ograniczający wtórną emisję zanieczyszczeń</t>
  </si>
  <si>
    <t>Budowa ścieżek pieszo-rowerowych</t>
  </si>
  <si>
    <t>Obliczenia pomocnicze</t>
  </si>
  <si>
    <t>Baza emisji zanieczyszczeń dla sektora budynków mieszkalnych jednorodzinnych - cały sektor</t>
  </si>
  <si>
    <t>Struktura zużycia paliw w sektorze</t>
  </si>
  <si>
    <t>%</t>
  </si>
  <si>
    <t>Zużycie energii na [GJ/rok]</t>
  </si>
  <si>
    <t>pomocnicze</t>
  </si>
  <si>
    <t>Energia końcowa  w gminie pochodząca z danego nośnika wg ankiet (potrzeby cieplne)</t>
  </si>
  <si>
    <t>Baza danych dla sektora budynków mieszkalnych wielorodzinnych służąca do obliczeń emisji zanieczyszczeń</t>
  </si>
  <si>
    <t xml:space="preserve">Baza emisji zanieczyszczeń dla sektora budynków  mieszkalnych wielorodzinnych </t>
  </si>
  <si>
    <t>Energia końcowa  w gminie pochodząca z danego nośnika wg ankiet (potrzeby grzewcze)</t>
  </si>
  <si>
    <t>Energia końcowa w gminie pochodząca z danego nośnika wg ankiet (potrzeby grzewcze)</t>
  </si>
  <si>
    <t>Energia końcowa w gminie pochodząca z danego nośnika wg ankiet (potrzeby cieplne)</t>
  </si>
  <si>
    <t>Baza emisji zanieczyszczeń oraz zużycie energii dla sektora transportu</t>
  </si>
  <si>
    <r>
      <t>CO</t>
    </r>
    <r>
      <rPr>
        <b/>
        <vertAlign val="subscript"/>
        <sz val="10"/>
        <rFont val="Calibri"/>
        <family val="2"/>
        <charset val="238"/>
      </rPr>
      <t>2</t>
    </r>
    <r>
      <rPr>
        <b/>
        <vertAlign val="subscript"/>
        <sz val="10"/>
        <color theme="0" tint="-0.14999847407452621"/>
        <rFont val="Calibri"/>
        <family val="2"/>
        <charset val="238"/>
      </rPr>
      <t>*</t>
    </r>
  </si>
  <si>
    <r>
      <t>BaP</t>
    </r>
    <r>
      <rPr>
        <b/>
        <sz val="10"/>
        <color theme="0" tint="-0.14999847407452621"/>
        <rFont val="Calibri"/>
        <family val="2"/>
        <charset val="238"/>
      </rPr>
      <t>**</t>
    </r>
  </si>
  <si>
    <t>1.2</t>
  </si>
  <si>
    <t>Budynki, wyposażenie/urządzenia usługowe (niekomunalne)</t>
  </si>
  <si>
    <t>Emisja</t>
  </si>
  <si>
    <t>Wskaźniki emisji dla kotłów &lt;50 kW*</t>
  </si>
  <si>
    <t>*w przypadku gazu dla CO2 zastosowano wskaźnik dla gazu płynnego z uwagi na fakt, że tylko taki występuje w gminie</t>
  </si>
  <si>
    <t>Działanie 2. Ograniczenie zużycia energii -  transport - W PRZYPADKU TRANSPORTU Z UWAGI NA TRUDNOŚCI Z OSZACOWANIEM REDUKCJI EMISJI EFEKT NIE ZOSTAŁ POLICZONY</t>
  </si>
  <si>
    <t>Zużycie paliwa dla aut należących do taboru gminnego</t>
  </si>
  <si>
    <t>Budynki mieszkalne jednorodzinne - energia elektryczna (bez ogrzewania)</t>
  </si>
  <si>
    <t>Baza danych dla sektora komunalnego i użyteczności publicznej do obliczeń emisji zanieczyszczeń</t>
  </si>
  <si>
    <t>Modernizacja budynków użyteczności publicznej bez zmiany źródła ciepła</t>
  </si>
  <si>
    <t>Udział całkowitej produkcji energii z OŹE w stosunku do wartości zużycia energii finalnej:</t>
  </si>
  <si>
    <t>Zużycie energii w gminie [GJ/rok]</t>
  </si>
  <si>
    <t>Zużycie energii końcowej cieplnej [GJ/rok]</t>
  </si>
  <si>
    <t>Docelowy poziom emisji CO2 [Mg/rok]:</t>
  </si>
  <si>
    <t>Budynki mieszkalne wielorodz. - energia elektryczna (bez ogrzewania)</t>
  </si>
  <si>
    <t>Liczba ludności w sektorze mieszkaniowym jednorodzinnym:</t>
  </si>
  <si>
    <r>
      <t>CO2</t>
    </r>
    <r>
      <rPr>
        <b/>
        <sz val="10"/>
        <color theme="0" tint="-4.9989318521683403E-2"/>
        <rFont val="Czcionka tekstu podstawowego"/>
        <charset val="238"/>
      </rPr>
      <t>*</t>
    </r>
  </si>
  <si>
    <r>
      <t>BaP</t>
    </r>
    <r>
      <rPr>
        <b/>
        <sz val="10"/>
        <color theme="0" tint="-4.9989318521683403E-2"/>
        <rFont val="Czcionka tekstu podstawowego"/>
        <charset val="238"/>
      </rPr>
      <t>**</t>
    </r>
  </si>
  <si>
    <t>Gminny Ośrodek Pomocy Społecznej</t>
  </si>
  <si>
    <t>OSP Oksa</t>
  </si>
  <si>
    <t>OSP Kanice</t>
  </si>
  <si>
    <t>Węgleszyn 84</t>
  </si>
  <si>
    <t>OSP Lipno</t>
  </si>
  <si>
    <t>Lipno 11</t>
  </si>
  <si>
    <t>Rembiechowa 30a</t>
  </si>
  <si>
    <t>OSP Tyniec</t>
  </si>
  <si>
    <t>OSP Zakrzów/świetlica</t>
  </si>
  <si>
    <t>Zakrzów 41</t>
  </si>
  <si>
    <t>OSP Rzeszówek</t>
  </si>
  <si>
    <t>Rzeszówek 20a</t>
  </si>
  <si>
    <t>OSP Popowice</t>
  </si>
  <si>
    <t>Popowice  48 a</t>
  </si>
  <si>
    <t>Dębina 41 A</t>
  </si>
  <si>
    <t>Budynek socjalny - mieszkania</t>
  </si>
  <si>
    <t>Węgleszyn 118</t>
  </si>
  <si>
    <t>Kanice 15a</t>
  </si>
  <si>
    <t xml:space="preserve">Budynek Blogoszów świetlica, dom caritas, mieszkania - 3 czesci </t>
  </si>
  <si>
    <t>Błogoszów 20</t>
  </si>
  <si>
    <t>Strażacka 7</t>
  </si>
  <si>
    <t>Budynek Urzędu Gminy</t>
  </si>
  <si>
    <t>Oksa, ul. Włoszczowska 22</t>
  </si>
  <si>
    <t>Oksa, ul. Włoszczowska 22a</t>
  </si>
  <si>
    <t>Oksa, ul. Jędrzejowska 14</t>
  </si>
  <si>
    <t>docieplenie dachu</t>
  </si>
  <si>
    <t>OPS Węgleszyn</t>
  </si>
  <si>
    <t>Nowe Kanice 15a</t>
  </si>
  <si>
    <t xml:space="preserve">OSP Rembiechowa/świetlica </t>
  </si>
  <si>
    <t>Tyniec Kolonia 5</t>
  </si>
  <si>
    <t>Budynek po byłej szkole w Kanicach - 2 mieszkania</t>
  </si>
  <si>
    <t>Ośrodek zdrowia - mieszkania</t>
  </si>
  <si>
    <t>Zespół Placówek Oświatowych</t>
  </si>
  <si>
    <t>Oksa, Pl. Mikołaja Reja 19</t>
  </si>
  <si>
    <t>267 kW</t>
  </si>
  <si>
    <t>Węgleszyn 50a</t>
  </si>
  <si>
    <t>260 kW</t>
  </si>
  <si>
    <t>Oksa, ul. Jędrzejowska 16</t>
  </si>
  <si>
    <t>25 kW</t>
  </si>
  <si>
    <t>2017-2018</t>
  </si>
  <si>
    <t xml:space="preserve">Dom Ludowy Węgleszyn </t>
  </si>
  <si>
    <t>OSP Błogoszów</t>
  </si>
  <si>
    <t>Błogoszów 17</t>
  </si>
  <si>
    <t>nie ogrzewany</t>
  </si>
  <si>
    <t>Struktura % pojazdów według paliw (GUS - woj.świętokrzyskie)</t>
  </si>
  <si>
    <t xml:space="preserve"> ciężarowe</t>
  </si>
  <si>
    <t>Droga wojewódzka nr 742 (odc. Włoszczowa - Oksa)</t>
  </si>
  <si>
    <t>Droga wojewódzka nr 742 (odc. Oksa - Nagłowice)</t>
  </si>
  <si>
    <t>Łączna emisja w sektorze transportu w gminie Oksa</t>
  </si>
  <si>
    <t>Oksa</t>
  </si>
  <si>
    <t>Jędrzejowska</t>
  </si>
  <si>
    <t>Nr</t>
  </si>
  <si>
    <t>15a</t>
  </si>
  <si>
    <t>Źródłowa</t>
  </si>
  <si>
    <t>nap.12</t>
  </si>
  <si>
    <t>2a</t>
  </si>
  <si>
    <t>Kościelna</t>
  </si>
  <si>
    <t>28a</t>
  </si>
  <si>
    <t>21a</t>
  </si>
  <si>
    <t>39b</t>
  </si>
  <si>
    <t>39a</t>
  </si>
  <si>
    <t>20a</t>
  </si>
  <si>
    <t>Węgleszyn - Ogrody</t>
  </si>
  <si>
    <t>5a</t>
  </si>
  <si>
    <t>11a</t>
  </si>
  <si>
    <t>14a</t>
  </si>
  <si>
    <t>19a</t>
  </si>
  <si>
    <t>b.d.</t>
  </si>
  <si>
    <t>Błogoszów</t>
  </si>
  <si>
    <t>9a</t>
  </si>
  <si>
    <t>Ilość energii elektrycznej zużywana średnio przez gospodarstwo</t>
  </si>
  <si>
    <t xml:space="preserve">Zuzycie technologiczne - wodociągi </t>
  </si>
  <si>
    <t xml:space="preserve">Baza emisji zanieczyszczeń dla sektora budynków działalności gospodarczej </t>
  </si>
  <si>
    <t>Średni Dobowy Ruch (SDR) w 2015 roku</t>
  </si>
  <si>
    <t>3.1.</t>
  </si>
  <si>
    <t>Wymiana pieców węglowych na węglowe tzw. V klasy</t>
  </si>
  <si>
    <t>3.2.</t>
  </si>
  <si>
    <t>Wymiana pieców węglowych na kotły na biomasę</t>
  </si>
  <si>
    <t>3.3.</t>
  </si>
  <si>
    <t xml:space="preserve">Montaż kolektorów słonecznych </t>
  </si>
  <si>
    <t>3.4.</t>
  </si>
  <si>
    <t>3.5.</t>
  </si>
  <si>
    <t>Docelowy poziom zużycia energii finalnej [MWh/rok]:</t>
  </si>
  <si>
    <t>Docelowy poziom produkcji energii z OŹE w roku 2020 [MWh/rok]:</t>
  </si>
  <si>
    <t>Ograniczenie zużycia energii [MWh/rok]:</t>
  </si>
  <si>
    <t>Zwiększenie udziału energii z OŹE [MWh/rok]:</t>
  </si>
  <si>
    <r>
      <t>Emisje CO</t>
    </r>
    <r>
      <rPr>
        <b/>
        <vertAlign val="subscript"/>
        <sz val="12"/>
        <rFont val="Calibri"/>
        <family val="2"/>
        <charset val="238"/>
        <scheme val="minor"/>
      </rPr>
      <t>2</t>
    </r>
    <r>
      <rPr>
        <b/>
        <sz val="12"/>
        <rFont val="Calibri"/>
        <family val="2"/>
        <charset val="238"/>
        <scheme val="minor"/>
      </rPr>
      <t xml:space="preserve"> [t]/emisje ekwiwalentu CO</t>
    </r>
    <r>
      <rPr>
        <b/>
        <vertAlign val="subscript"/>
        <sz val="12"/>
        <rFont val="Calibri"/>
        <family val="2"/>
        <charset val="238"/>
        <scheme val="minor"/>
      </rPr>
      <t>2</t>
    </r>
    <r>
      <rPr>
        <b/>
        <sz val="12"/>
        <rFont val="Calibri"/>
        <family val="2"/>
        <charset val="238"/>
        <scheme val="minor"/>
      </rPr>
      <t xml:space="preserve"> [t]</t>
    </r>
  </si>
  <si>
    <t>Ilość energii końcowej [MWh/rok]</t>
  </si>
  <si>
    <t>Produkcja energii z OŹE  [MWh/rok]</t>
  </si>
  <si>
    <t>Energia końcowa uniknięta  [MWh/rok]</t>
  </si>
  <si>
    <t>Wartości w roku 2023</t>
  </si>
  <si>
    <t>Różnica - efekt ekologiczny rok 2023</t>
  </si>
  <si>
    <t>Redukcja [%] w roku 2023 w stosunku do wartości całkowitych w gminie w roku bazowym (w przypadku OŹE - wzrost)*</t>
  </si>
  <si>
    <t>Rodzaj działania/ nazwa zadania</t>
  </si>
  <si>
    <t>Podmiot odpowiedzialny</t>
  </si>
  <si>
    <t>Planowane lata realizacji</t>
  </si>
  <si>
    <t>Koszt w PLN</t>
  </si>
  <si>
    <t>Źródła finasowania</t>
  </si>
  <si>
    <t>Redukcja emisji CO2 Mg/rok</t>
  </si>
  <si>
    <t>Zmniejszenie zużycia energii finalnej MWh/rok</t>
  </si>
  <si>
    <t>Ilość energii wytworzona z OZE MWh/rok</t>
  </si>
  <si>
    <t xml:space="preserve">Redukcja ilości zanieczyszczeń do powietrza </t>
  </si>
  <si>
    <t xml:space="preserve"> PM10</t>
  </si>
  <si>
    <t>DZIAŁANIA INWESTYCYJNE</t>
  </si>
  <si>
    <t>Gmina Sobków</t>
  </si>
  <si>
    <t>2021-2022</t>
  </si>
  <si>
    <t>RPO Województwa Świętokrzyskiego na lata 2014-2020 Oś 3 3. Efektywna i zielona energia Działanie 3.3 Poprawa efektywności energetycznej z wykorzystaniem odnawialnych źródeł energii w sektorze publicznym i mieszkaniowym. Środki własne Gminy, środki z WFOŚiGW w Kielcach</t>
  </si>
  <si>
    <t>DZIAŁANIA NIEINWESTYCYJNE</t>
  </si>
  <si>
    <t>Działania edukacyjne, w tym organizacja akcji społecznych związanych z ograniczeniem emisji,  efektywnością energetyczną oraz wykorzystaniem odnawialnych źródeł energii</t>
  </si>
  <si>
    <t>Przygotowanie i przeprowadzenie działań edukacyjnych</t>
  </si>
  <si>
    <t>2021-2023</t>
  </si>
  <si>
    <t>Budżet Gminy</t>
  </si>
  <si>
    <t>3.</t>
  </si>
  <si>
    <t>Działania z zakresu planowania przestrzennego</t>
  </si>
  <si>
    <t>4.</t>
  </si>
  <si>
    <t>Zielone zamówienia publiczne</t>
  </si>
  <si>
    <t>Uwglęnianie aspektów środowiskowych w postępowaniach o zamowieniach publicznych</t>
  </si>
  <si>
    <t>Zestawienie działań</t>
  </si>
  <si>
    <t>Działanie</t>
  </si>
  <si>
    <t>Jednostka odpowiedzialna</t>
  </si>
  <si>
    <t>Rola jednostki odpowiedzialnej</t>
  </si>
  <si>
    <t>Okres realizacji</t>
  </si>
  <si>
    <t>Szacowany koszt</t>
  </si>
  <si>
    <t>Efekt ekologiczny</t>
  </si>
  <si>
    <t>Wzrost udziału OZE</t>
  </si>
  <si>
    <t>Wskaźniki</t>
  </si>
  <si>
    <t>Źródła finansowania</t>
  </si>
  <si>
    <t>Rozpoczęcie</t>
  </si>
  <si>
    <t>zakończenie</t>
  </si>
  <si>
    <r>
      <t>Mg CO</t>
    </r>
    <r>
      <rPr>
        <b/>
        <vertAlign val="subscript"/>
        <sz val="10"/>
        <rFont val="Calibri Light"/>
        <family val="2"/>
        <charset val="238"/>
      </rPr>
      <t>2</t>
    </r>
  </si>
  <si>
    <t>DZIAŁANIA FAKULTATYWNE (NIEINWESTYCYJNE)</t>
  </si>
  <si>
    <t>Aktualizacja Planu Gospodarki Niskoemisyjnej</t>
  </si>
  <si>
    <t>Opracowanie aktualizacji PGN</t>
  </si>
  <si>
    <t>Liczba działań zrealizowanych z Planu Gospodarki Niskoemisyjnej</t>
  </si>
  <si>
    <t>budżet gminy,  RPO WS, NFOŚiGW, WFOŚiGW</t>
  </si>
  <si>
    <t>Inwentaryzacja oświetlenia ulicznego</t>
  </si>
  <si>
    <t>Przygotowanie i przeprowadzenie inwestycji</t>
  </si>
  <si>
    <t>Liczba zinwentaryzowanych punktów świetlnych</t>
  </si>
  <si>
    <t>DZIAŁANIA OBLIGATORYJNE (INWESTYCYJNE)</t>
  </si>
  <si>
    <t>Liczba zorganizowanych akcji społecznych, liczba osób, które skorzystały z akcji</t>
  </si>
  <si>
    <t>budżet gminy,   RPO WS, NFOŚiGW, WFOŚiGW</t>
  </si>
  <si>
    <t>Liczba działań z zakresu planowania przestrzennego</t>
  </si>
  <si>
    <t>5.</t>
  </si>
  <si>
    <t>Liczba zrealizowanych zamówień spełniających kryteria zielonych zamówień</t>
  </si>
  <si>
    <t>6.</t>
  </si>
  <si>
    <t>Modernizacja oświetlenia ulicznego</t>
  </si>
  <si>
    <t>Ilość zaoszczędzonej energii, ilość zmodernizowanych punktów</t>
  </si>
  <si>
    <t>budżet gminy, RPO WS, NFOŚiGW, WFOŚiGW</t>
  </si>
  <si>
    <t>7.</t>
  </si>
  <si>
    <t>Termomodernizacja budynków użyteczności publicznej wraz z audytami energetycznymi</t>
  </si>
  <si>
    <t>Gmina Sobków, zarządcy budynków</t>
  </si>
  <si>
    <t>Ilość audytowo i projektowo zaoszczędzonej energii</t>
  </si>
  <si>
    <t>Budżet gminy,  RPO WS, NFOŚiGW, WFOŚiGW Kielce - "Ograniczenie emisji zanieczyszczeń do powietrza poprzez modernizację indywidualnych kotłowni, zakup i montaż odnawialnych źródeł energii, termomodernizację budynków" (działanie zgodne z pkt. B.III.1.3 listy przedsięwzięć priorytetowych)</t>
  </si>
  <si>
    <t>8.</t>
  </si>
  <si>
    <t>Montaż odnawialnych źródeł energii na/w budynkach użyteczności publicznej</t>
  </si>
  <si>
    <t>Wyprodukowana energia z OZE, moc zamontowanych instalacji</t>
  </si>
  <si>
    <t>9.</t>
  </si>
  <si>
    <t>Kompleksowe zarządzanie energią w budynkach publicznych zarządzanych przez Urząd Gminy, w tym audyty energetyczne</t>
  </si>
  <si>
    <t>10.</t>
  </si>
  <si>
    <t xml:space="preserve">Rozbudowa i i modernizacja dróg na terenie Gminy Sobków </t>
  </si>
  <si>
    <t>Długość zmodernizowanych i rozbudowanych dróg</t>
  </si>
  <si>
    <t>11.</t>
  </si>
  <si>
    <t>Promocja komunikacji ekologicznej</t>
  </si>
  <si>
    <t>Przygotowanie i przeprowadzenie kampanii</t>
  </si>
  <si>
    <t>Liczba przeprowadzonych akcji promocyjnych</t>
  </si>
  <si>
    <t>Budżet gminy,   RPO WS, NFOŚiGW, WFOŚiGW</t>
  </si>
  <si>
    <t>12.</t>
  </si>
  <si>
    <t>Rozwój rozproszonych źródeł energii - małe instalacje fotowoltaiczne</t>
  </si>
  <si>
    <t>Przedsiębiorcy</t>
  </si>
  <si>
    <t>Wsparcie procesu inwestycyjnego</t>
  </si>
  <si>
    <t>środki własne,  RPO WS, NFOŚiGW (np. program BOCIAN), WFOŚiGW Kielce - "Ograniczenie emisji zanieczyszczeń do powietrza poprzez modernizację indywidualnych kotłowni, zakup i montaż odnawialnych źródeł energii, termomodernizację budynków" (działanie zgodne z pkt. B.III.1.3 listy przedsięwzięć priorytetowych)</t>
  </si>
  <si>
    <t>13.</t>
  </si>
  <si>
    <t>Poprawa efektywności energetycznej w sektorze przedsiębiorstw na terenie Gminy Sobków</t>
  </si>
  <si>
    <t>Liczba budynków poddanych termomodernizacji, liczba wymienionych kotłów grzewczych</t>
  </si>
  <si>
    <t>14.</t>
  </si>
  <si>
    <t>Rozwój rozproszonych źródeł energii - mikro instalacje fotowoltaiczne</t>
  </si>
  <si>
    <t>Mieszkańcy</t>
  </si>
  <si>
    <t>środki własne mieszkańców,  RPO WS, NFOŚiGW, WFOŚiGW Kielce - "Ograniczenie emisji zanieczyszczeń do powietrza poprzez modernizację indywidualnych kotłowni, zakup i montaż odnawialnych źródeł energii, termomodernizację budynków" (działanie zgodne z pkt. B.III.1.3 listy przedsięwzięć priorytetowych);</t>
  </si>
  <si>
    <t>15.</t>
  </si>
  <si>
    <t>Rozwój rozproszonych źródeł energii - kolektory słoneczne</t>
  </si>
  <si>
    <t>środki własne mieszkańców, RPO WS, NFOŚiGW, WFOŚiGW Kielce - "Ograniczenie emisji zanieczyszczeń do powietrza poprzez modernizację indywidualnych kotłowni, zakup i montaż odnawialnych źródeł energii, termomodernizację budynków" (działanie zgodne z pkt. B.III.1.3 listy przedsięwzięć priorytetowych);</t>
  </si>
  <si>
    <t>16.</t>
  </si>
  <si>
    <t>Termomodernizacja budynków mieszkalnych wraz z audytami energetycznymi</t>
  </si>
  <si>
    <t>Liczba zmodernizowanych budynków</t>
  </si>
  <si>
    <t>środki własne mieszkańców,   RPO WS, NFOŚiGW (np. program RYŚ), WFOŚiGW Kielce - "Ograniczenie emisji zanieczyszczeń do powietrza poprzez modernizację indywidualnych kotłowni, zakup i montaż odnawialnych źródeł energii, termomodernizację budynków" (działanie zgodne z pkt. B.III.1.3 listy przedsięwzięć priorytetowych)</t>
  </si>
  <si>
    <t>17.</t>
  </si>
  <si>
    <t>Ograniczenie emisji z budynków mieszkalnych – wymiana kotłów</t>
  </si>
  <si>
    <t>Liczba wymienionych kotłów</t>
  </si>
  <si>
    <t>środki własne mieszkańców,   RPO WS, NFOŚiGW (np. program KAWKA), WFOŚiGW Kielce - "Ograniczenie emisji zanieczyszczeń do powietrza poprzez modernizację indywidualnych kotłowni, zakup i montaż odnawialnych źródeł energii, termomodernizację budynków" (działanie zgodne z pkt. B.III.1.3 listy przedsięwzięć priorytetowych);</t>
  </si>
  <si>
    <t>SUMA</t>
  </si>
  <si>
    <t>Gmina Oksa</t>
  </si>
  <si>
    <t>Kompleksowa termomodernizacja budynków użyteczności publicznej na terenie Gminy Oksa – etap II</t>
  </si>
  <si>
    <t xml:space="preserve">Zadanie polega termomodernizacji 6 budynków użyteczności publicznej:
1. Remiza OSP/świetlica wiejska Nowe Kanice
2. Remiza OSP/świetlica wiejska w Popowicach 
3. Remiza OSP/świetlica wiejska w Rzeszówku 
4. Remiza OSP/świetlica wiejska w Tyńcu
5. Budynek Szkoły Podstawowej w Węgleszynie 
6. Budynek Szkoły Podstawowej w Oksie
Zakres prac:
- kompleksowa modernizacja systemu grzewczego w tym wymiana źródła ciepła, wymiana grzejników, montaż termostatów, orurowanie i osprzęt,
- modernizacja systemu cwu.
- docieplenie  obiektu (ścian na gruncie, stropodachu, ścian zewnętrznych szkoły i sali gimnastycznej)
- wymiana stolarki okiennej i drzwiowej
-wymiana oświetlenia
- montaż paneli fotowoltaicznych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</si>
</sst>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8" formatCode="#,##0.00\ &quot;zł&quot;;[Red]\-#,##0.00\ &quot;zł&quot;"/>
    <numFmt numFmtId="44" formatCode="_-* #,##0.00\ &quot;zł&quot;_-;\-* #,##0.00\ &quot;zł&quot;_-;_-* &quot;-&quot;??\ &quot;zł&quot;_-;_-@_-"/>
    <numFmt numFmtId="164" formatCode="_(* #,##0.00_);_(* \(#,##0.00\);_(* &quot;-&quot;??_);_(@_)"/>
    <numFmt numFmtId="165" formatCode="0.0"/>
    <numFmt numFmtId="166" formatCode="_-* #,##0\ _z_ł_-;\-* #,##0\ _z_ł_-;_-* &quot;-&quot;??\ _z_ł_-;_-@_-"/>
    <numFmt numFmtId="167" formatCode="0.000"/>
    <numFmt numFmtId="168" formatCode="0.0%"/>
    <numFmt numFmtId="169" formatCode="_-* #,##0.0\ _z_ł_-;\-* #,##0.0\ _z_ł_-;_-* &quot;-&quot;??\ _z_ł_-;_-@_-"/>
    <numFmt numFmtId="170" formatCode="#,##0.0"/>
    <numFmt numFmtId="171" formatCode="#,##0.000000"/>
    <numFmt numFmtId="172" formatCode="0.0000"/>
    <numFmt numFmtId="173" formatCode="#,##0.000"/>
    <numFmt numFmtId="174" formatCode="_-* #,##0.00\ _z_ł_-;\-* #,##0.00\ _z_ł_-;_-* &quot;-&quot;\ _z_ł_-;_-@_-"/>
    <numFmt numFmtId="175" formatCode="_-* #,##0.0000\ _z_ł_-;\-* #,##0.0000\ _z_ł_-;_-* &quot;-&quot;??\ _z_ł_-;_-@_-"/>
    <numFmt numFmtId="176" formatCode="0.00000000000000000000000"/>
    <numFmt numFmtId="177" formatCode="#,##0.0000"/>
    <numFmt numFmtId="178" formatCode="_-* #,##0.0000000000\ _z_ł_-;\-* #,##0.0000000000\ _z_ł_-;_-* &quot;-&quot;??\ _z_ł_-;_-@_-"/>
    <numFmt numFmtId="179" formatCode="0.000%"/>
    <numFmt numFmtId="180" formatCode="0.0000000000000000"/>
    <numFmt numFmtId="181" formatCode="#,##0.00\ &quot;zł&quot;"/>
    <numFmt numFmtId="183" formatCode="#,##0.0000_ ;\-#,##0.0000\ "/>
  </numFmts>
  <fonts count="122">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zcionka tekstu podstawowego"/>
      <charset val="238"/>
    </font>
    <font>
      <sz val="10"/>
      <name val="Arial"/>
      <family val="2"/>
    </font>
    <font>
      <sz val="8"/>
      <color indexed="81"/>
      <name val="Tahoma"/>
      <family val="2"/>
      <charset val="238"/>
    </font>
    <font>
      <b/>
      <sz val="10"/>
      <color theme="1"/>
      <name val="Czcionka tekstu podstawowego"/>
      <charset val="238"/>
    </font>
    <font>
      <sz val="10"/>
      <color theme="1"/>
      <name val="Czcionka tekstu podstawowego"/>
      <charset val="238"/>
    </font>
    <font>
      <sz val="9"/>
      <color theme="1"/>
      <name val="Czcionka tekstu podstawowego"/>
      <family val="2"/>
      <charset val="238"/>
    </font>
    <font>
      <sz val="11"/>
      <color theme="1"/>
      <name val="Czcionka tekstu podstawowego"/>
      <family val="2"/>
      <charset val="238"/>
    </font>
    <font>
      <u/>
      <sz val="11"/>
      <color theme="10"/>
      <name val="Czcionka tekstu podstawowego"/>
      <family val="2"/>
      <charset val="238"/>
    </font>
    <font>
      <sz val="11"/>
      <color theme="1"/>
      <name val="Calibri"/>
      <family val="2"/>
      <charset val="238"/>
    </font>
    <font>
      <b/>
      <sz val="10"/>
      <name val="Calibri"/>
      <family val="2"/>
      <charset val="238"/>
    </font>
    <font>
      <sz val="9"/>
      <name val="Calibri"/>
      <family val="2"/>
      <charset val="238"/>
    </font>
    <font>
      <b/>
      <sz val="10"/>
      <color rgb="FF000000"/>
      <name val="Czcionka tekstu podstawowego"/>
      <charset val="238"/>
    </font>
    <font>
      <sz val="10"/>
      <color theme="1"/>
      <name val="Calibri"/>
      <family val="2"/>
      <charset val="238"/>
    </font>
    <font>
      <sz val="9"/>
      <color theme="1"/>
      <name val="Calibri"/>
      <family val="2"/>
      <charset val="238"/>
    </font>
    <font>
      <b/>
      <sz val="11"/>
      <color rgb="FF000000"/>
      <name val="Czcionka tekstu podstawowego"/>
      <charset val="238"/>
    </font>
    <font>
      <b/>
      <vertAlign val="subscript"/>
      <sz val="10"/>
      <name val="Calibri"/>
      <family val="2"/>
      <charset val="238"/>
    </font>
    <font>
      <b/>
      <sz val="5"/>
      <color theme="1"/>
      <name val="Czcionka tekstu podstawowego"/>
      <charset val="238"/>
    </font>
    <font>
      <b/>
      <sz val="5"/>
      <color theme="1"/>
      <name val="Calibri"/>
      <family val="2"/>
      <charset val="238"/>
      <scheme val="minor"/>
    </font>
    <font>
      <b/>
      <sz val="5"/>
      <name val="Calibri"/>
      <family val="2"/>
      <charset val="238"/>
      <scheme val="minor"/>
    </font>
    <font>
      <b/>
      <vertAlign val="superscript"/>
      <sz val="5"/>
      <color theme="1"/>
      <name val="Czcionka tekstu podstawowego"/>
      <charset val="238"/>
    </font>
    <font>
      <b/>
      <sz val="8"/>
      <color theme="1"/>
      <name val="Czcionka tekstu podstawowego"/>
      <charset val="238"/>
    </font>
    <font>
      <sz val="5"/>
      <color theme="1"/>
      <name val="Czcionka tekstu podstawowego"/>
      <charset val="238"/>
    </font>
    <font>
      <sz val="5"/>
      <color theme="1"/>
      <name val="Czcionka tekstu podstawowego"/>
      <family val="2"/>
      <charset val="238"/>
    </font>
    <font>
      <sz val="5"/>
      <name val="Calibri"/>
      <family val="2"/>
      <charset val="238"/>
      <scheme val="minor"/>
    </font>
    <font>
      <sz val="5"/>
      <color theme="1"/>
      <name val="Calibri"/>
      <family val="2"/>
      <charset val="238"/>
      <scheme val="minor"/>
    </font>
    <font>
      <b/>
      <sz val="8"/>
      <color indexed="81"/>
      <name val="Tahoma"/>
      <family val="2"/>
      <charset val="238"/>
    </font>
    <font>
      <sz val="10"/>
      <color theme="1"/>
      <name val="Czcionka tekstu podstawowego"/>
      <family val="2"/>
      <charset val="238"/>
    </font>
    <font>
      <sz val="8"/>
      <color theme="1"/>
      <name val="Arial"/>
      <family val="2"/>
      <charset val="238"/>
    </font>
    <font>
      <b/>
      <sz val="6"/>
      <color theme="1"/>
      <name val="Czcionka tekstu podstawowego"/>
      <charset val="238"/>
    </font>
    <font>
      <sz val="6"/>
      <name val="Arial"/>
      <family val="2"/>
    </font>
    <font>
      <sz val="6"/>
      <color theme="1"/>
      <name val="Czcionka tekstu podstawowego"/>
      <family val="2"/>
      <charset val="238"/>
    </font>
    <font>
      <sz val="11"/>
      <color theme="1"/>
      <name val="Czcionka tekstu podstawowego"/>
      <charset val="238"/>
    </font>
    <font>
      <sz val="6"/>
      <color theme="1"/>
      <name val="Calibri"/>
      <family val="2"/>
      <charset val="238"/>
      <scheme val="minor"/>
    </font>
    <font>
      <b/>
      <sz val="6"/>
      <color theme="1"/>
      <name val="Calibri"/>
      <family val="2"/>
      <charset val="238"/>
      <scheme val="minor"/>
    </font>
    <font>
      <b/>
      <i/>
      <sz val="6"/>
      <color theme="1"/>
      <name val="Calibri"/>
      <family val="2"/>
      <charset val="238"/>
      <scheme val="minor"/>
    </font>
    <font>
      <sz val="11"/>
      <name val="Calibri"/>
      <family val="2"/>
      <charset val="238"/>
    </font>
    <font>
      <b/>
      <sz val="12"/>
      <color theme="1"/>
      <name val="Czcionka tekstu podstawowego"/>
      <charset val="238"/>
    </font>
    <font>
      <sz val="8"/>
      <color theme="1"/>
      <name val="Czcionka tekstu podstawowego"/>
      <family val="2"/>
      <charset val="238"/>
    </font>
    <font>
      <b/>
      <sz val="10"/>
      <name val="Arial"/>
      <family val="2"/>
      <charset val="238"/>
    </font>
    <font>
      <b/>
      <i/>
      <sz val="8"/>
      <color theme="1"/>
      <name val="Calibri"/>
      <family val="2"/>
      <charset val="238"/>
      <scheme val="minor"/>
    </font>
    <font>
      <sz val="8"/>
      <color theme="1"/>
      <name val="Calibri"/>
      <family val="2"/>
      <charset val="238"/>
      <scheme val="minor"/>
    </font>
    <font>
      <b/>
      <sz val="8"/>
      <color theme="1"/>
      <name val="Calibri"/>
      <family val="2"/>
      <charset val="238"/>
      <scheme val="minor"/>
    </font>
    <font>
      <b/>
      <sz val="5"/>
      <color rgb="FFFF0000"/>
      <name val="Calibri"/>
      <family val="2"/>
      <charset val="238"/>
      <scheme val="minor"/>
    </font>
    <font>
      <b/>
      <sz val="5"/>
      <name val="Czcionka tekstu podstawowego"/>
      <charset val="238"/>
    </font>
    <font>
      <sz val="5"/>
      <name val="Czcionka tekstu podstawowego"/>
      <charset val="238"/>
    </font>
    <font>
      <sz val="6"/>
      <name val="Czcionka tekstu podstawowego"/>
      <family val="2"/>
      <charset val="238"/>
    </font>
    <font>
      <sz val="11"/>
      <color theme="0"/>
      <name val="Czcionka tekstu podstawowego"/>
      <family val="2"/>
      <charset val="238"/>
    </font>
    <font>
      <sz val="8"/>
      <color rgb="FF000000"/>
      <name val="Tahoma"/>
      <family val="2"/>
      <charset val="238"/>
    </font>
    <font>
      <sz val="5"/>
      <color theme="0"/>
      <name val="Czcionka tekstu podstawowego"/>
      <family val="2"/>
      <charset val="238"/>
    </font>
    <font>
      <b/>
      <sz val="9"/>
      <color theme="1"/>
      <name val="Czcionka tekstu podstawowego"/>
      <charset val="238"/>
    </font>
    <font>
      <sz val="6"/>
      <color theme="0"/>
      <name val="Calibri"/>
      <family val="2"/>
      <charset val="238"/>
      <scheme val="minor"/>
    </font>
    <font>
      <sz val="11"/>
      <color theme="0"/>
      <name val="Czcionka tekstu podstawowego"/>
      <charset val="238"/>
    </font>
    <font>
      <sz val="9"/>
      <color theme="0"/>
      <name val="Calibri"/>
      <family val="2"/>
      <charset val="238"/>
    </font>
    <font>
      <b/>
      <sz val="8"/>
      <name val="Calibri"/>
      <family val="2"/>
      <charset val="238"/>
      <scheme val="minor"/>
    </font>
    <font>
      <sz val="8"/>
      <name val="Calibri"/>
      <family val="2"/>
      <charset val="238"/>
      <scheme val="minor"/>
    </font>
    <font>
      <sz val="8"/>
      <color rgb="FF000000"/>
      <name val="Calibri"/>
      <family val="2"/>
      <charset val="238"/>
      <scheme val="minor"/>
    </font>
    <font>
      <sz val="8"/>
      <color rgb="FF000000"/>
      <name val="Arial"/>
      <family val="2"/>
      <charset val="238"/>
    </font>
    <font>
      <vertAlign val="subscript"/>
      <sz val="8"/>
      <color theme="1"/>
      <name val="Calibri"/>
      <family val="2"/>
      <charset val="238"/>
      <scheme val="minor"/>
    </font>
    <font>
      <sz val="10"/>
      <color theme="1"/>
      <name val="Times New Roman"/>
      <family val="1"/>
      <charset val="238"/>
    </font>
    <font>
      <vertAlign val="subscript"/>
      <sz val="10"/>
      <color theme="1"/>
      <name val="Times New Roman"/>
      <family val="1"/>
      <charset val="238"/>
    </font>
    <font>
      <sz val="11"/>
      <name val="Czcionka tekstu podstawowego"/>
      <family val="2"/>
      <charset val="238"/>
    </font>
    <font>
      <sz val="10"/>
      <color rgb="FF9CC2E5"/>
      <name val="Calibri"/>
      <family val="2"/>
      <charset val="238"/>
    </font>
    <font>
      <b/>
      <sz val="9"/>
      <color indexed="81"/>
      <name val="Tahoma"/>
      <family val="2"/>
      <charset val="238"/>
    </font>
    <font>
      <b/>
      <sz val="7"/>
      <color theme="1"/>
      <name val="Czcionka tekstu podstawowego"/>
      <charset val="238"/>
    </font>
    <font>
      <sz val="8"/>
      <color rgb="FFFF0000"/>
      <name val="Arial"/>
      <family val="2"/>
      <charset val="238"/>
    </font>
    <font>
      <sz val="5"/>
      <color theme="1"/>
      <name val="Calibri"/>
      <family val="2"/>
      <charset val="238"/>
    </font>
    <font>
      <sz val="10"/>
      <color theme="1"/>
      <name val="Calibri"/>
      <family val="2"/>
      <charset val="238"/>
      <scheme val="minor"/>
    </font>
    <font>
      <sz val="5"/>
      <name val="Czcionka tekstu podstawowego"/>
      <family val="2"/>
      <charset val="238"/>
    </font>
    <font>
      <sz val="11"/>
      <color rgb="FF000000"/>
      <name val="Calibri"/>
      <family val="2"/>
      <scheme val="minor"/>
    </font>
    <font>
      <b/>
      <sz val="10"/>
      <color theme="1"/>
      <name val="Calibri"/>
      <family val="2"/>
      <charset val="238"/>
      <scheme val="minor"/>
    </font>
    <font>
      <sz val="5"/>
      <color theme="1"/>
      <name val="Arial"/>
      <family val="2"/>
      <charset val="238"/>
    </font>
    <font>
      <b/>
      <sz val="10"/>
      <color theme="0" tint="-0.14999847407452621"/>
      <name val="Czcionka tekstu podstawowego"/>
      <charset val="238"/>
    </font>
    <font>
      <b/>
      <sz val="11"/>
      <color theme="1"/>
      <name val="Calibri"/>
      <family val="2"/>
      <charset val="238"/>
      <scheme val="minor"/>
    </font>
    <font>
      <sz val="6"/>
      <name val="Calibri"/>
      <family val="2"/>
      <charset val="238"/>
      <scheme val="minor"/>
    </font>
    <font>
      <sz val="6"/>
      <color rgb="FF000000"/>
      <name val="Calibri"/>
      <family val="2"/>
      <charset val="238"/>
      <scheme val="minor"/>
    </font>
    <font>
      <b/>
      <sz val="9"/>
      <color theme="1"/>
      <name val="Calibri"/>
      <family val="2"/>
      <charset val="238"/>
      <scheme val="minor"/>
    </font>
    <font>
      <b/>
      <sz val="8"/>
      <name val="Calibri"/>
      <family val="2"/>
      <charset val="238"/>
    </font>
    <font>
      <b/>
      <vertAlign val="subscript"/>
      <sz val="8"/>
      <name val="Calibri"/>
      <family val="2"/>
      <charset val="238"/>
    </font>
    <font>
      <b/>
      <vertAlign val="subscript"/>
      <sz val="8"/>
      <color theme="0" tint="-0.14999847407452621"/>
      <name val="Calibri"/>
      <family val="2"/>
      <charset val="238"/>
    </font>
    <font>
      <b/>
      <sz val="8"/>
      <color theme="0" tint="-0.14999847407452621"/>
      <name val="Calibri"/>
      <family val="2"/>
      <charset val="238"/>
    </font>
    <font>
      <sz val="8"/>
      <name val="Calibri"/>
      <family val="2"/>
      <charset val="238"/>
    </font>
    <font>
      <b/>
      <sz val="12"/>
      <color theme="1"/>
      <name val="Calibri"/>
      <family val="2"/>
      <charset val="238"/>
      <scheme val="minor"/>
    </font>
    <font>
      <b/>
      <sz val="8.5"/>
      <color theme="1"/>
      <name val="Calibri"/>
      <family val="2"/>
      <charset val="238"/>
      <scheme val="minor"/>
    </font>
    <font>
      <sz val="8"/>
      <color theme="1"/>
      <name val="Calibri"/>
      <family val="2"/>
      <charset val="238"/>
    </font>
    <font>
      <sz val="9"/>
      <color theme="1"/>
      <name val="Calibri"/>
      <family val="2"/>
      <charset val="238"/>
      <scheme val="minor"/>
    </font>
    <font>
      <i/>
      <sz val="8"/>
      <color theme="1"/>
      <name val="Czcionka tekstu podstawowego"/>
      <charset val="238"/>
    </font>
    <font>
      <sz val="10"/>
      <color theme="1"/>
      <name val="Calibri"/>
      <family val="2"/>
      <scheme val="minor"/>
    </font>
    <font>
      <b/>
      <sz val="12"/>
      <color theme="0"/>
      <name val="Calibri"/>
      <family val="2"/>
      <charset val="238"/>
      <scheme val="minor"/>
    </font>
    <font>
      <b/>
      <sz val="10"/>
      <color theme="0"/>
      <name val="Calibri"/>
      <family val="2"/>
      <charset val="238"/>
      <scheme val="minor"/>
    </font>
    <font>
      <b/>
      <sz val="10"/>
      <name val="Calibri"/>
      <family val="2"/>
      <charset val="238"/>
      <scheme val="minor"/>
    </font>
    <font>
      <b/>
      <sz val="10"/>
      <color rgb="FFFF0000"/>
      <name val="Calibri"/>
      <family val="2"/>
      <charset val="238"/>
      <scheme val="minor"/>
    </font>
    <font>
      <b/>
      <sz val="12"/>
      <color rgb="FFFF0000"/>
      <name val="Calibri"/>
      <family val="2"/>
      <charset val="238"/>
      <scheme val="minor"/>
    </font>
    <font>
      <b/>
      <vertAlign val="subscript"/>
      <sz val="10"/>
      <color theme="0"/>
      <name val="Calibri"/>
      <family val="2"/>
      <charset val="238"/>
      <scheme val="minor"/>
    </font>
    <font>
      <sz val="10"/>
      <color theme="0"/>
      <name val="Calibri"/>
      <family val="2"/>
      <charset val="238"/>
      <scheme val="minor"/>
    </font>
    <font>
      <b/>
      <vertAlign val="subscript"/>
      <sz val="10"/>
      <color rgb="FFFF0000"/>
      <name val="Calibri"/>
      <family val="2"/>
      <charset val="238"/>
      <scheme val="minor"/>
    </font>
    <font>
      <b/>
      <sz val="4"/>
      <color theme="1"/>
      <name val="Czcionka tekstu podstawowego"/>
      <charset val="238"/>
    </font>
    <font>
      <b/>
      <vertAlign val="subscript"/>
      <sz val="10"/>
      <color theme="0" tint="-0.14999847407452621"/>
      <name val="Calibri"/>
      <family val="2"/>
      <charset val="238"/>
    </font>
    <font>
      <b/>
      <sz val="10"/>
      <color theme="0" tint="-0.14999847407452621"/>
      <name val="Calibri"/>
      <family val="2"/>
      <charset val="238"/>
    </font>
    <font>
      <sz val="9"/>
      <name val="Calibri"/>
      <family val="2"/>
      <charset val="238"/>
      <scheme val="minor"/>
    </font>
    <font>
      <b/>
      <sz val="9"/>
      <color rgb="FF000000"/>
      <name val="Calibri"/>
      <family val="2"/>
      <charset val="238"/>
      <scheme val="minor"/>
    </font>
    <font>
      <b/>
      <sz val="10"/>
      <color theme="0" tint="-4.9989318521683403E-2"/>
      <name val="Czcionka tekstu podstawowego"/>
      <charset val="238"/>
    </font>
    <font>
      <sz val="9"/>
      <color indexed="81"/>
      <name val="Tahoma"/>
      <family val="2"/>
      <charset val="238"/>
    </font>
    <font>
      <b/>
      <sz val="12"/>
      <name val="Calibri"/>
      <family val="2"/>
      <charset val="238"/>
      <scheme val="minor"/>
    </font>
    <font>
      <sz val="10"/>
      <name val="Calibri"/>
      <family val="2"/>
      <charset val="238"/>
      <scheme val="minor"/>
    </font>
    <font>
      <b/>
      <vertAlign val="subscript"/>
      <sz val="12"/>
      <name val="Calibri"/>
      <family val="2"/>
      <charset val="238"/>
      <scheme val="minor"/>
    </font>
    <font>
      <sz val="10"/>
      <name val="Calibri"/>
      <family val="2"/>
      <scheme val="minor"/>
    </font>
    <font>
      <b/>
      <sz val="11"/>
      <name val="Calibri"/>
      <family val="2"/>
      <charset val="238"/>
      <scheme val="minor"/>
    </font>
    <font>
      <sz val="11"/>
      <name val="Czcionka tekstu podstawowego"/>
      <charset val="238"/>
    </font>
    <font>
      <sz val="8"/>
      <name val="Czcionka tekstu podstawowego"/>
      <family val="2"/>
      <charset val="238"/>
    </font>
    <font>
      <sz val="11"/>
      <name val="Calibri Light"/>
      <family val="2"/>
      <charset val="238"/>
    </font>
    <font>
      <b/>
      <sz val="10"/>
      <color rgb="FF000000"/>
      <name val="Calibri"/>
      <family val="2"/>
      <charset val="238"/>
      <scheme val="minor"/>
    </font>
    <font>
      <b/>
      <sz val="11"/>
      <name val="Calibri Light"/>
      <family val="2"/>
      <charset val="238"/>
    </font>
    <font>
      <b/>
      <sz val="10"/>
      <name val="Calibri Light"/>
      <family val="2"/>
      <charset val="238"/>
    </font>
    <font>
      <b/>
      <vertAlign val="subscript"/>
      <sz val="10"/>
      <name val="Calibri Light"/>
      <family val="2"/>
      <charset val="238"/>
    </font>
    <font>
      <sz val="10"/>
      <name val="Calibri Light"/>
      <family val="2"/>
      <charset val="238"/>
    </font>
    <font>
      <sz val="9"/>
      <name val="Calibri Light"/>
      <family val="2"/>
      <charset val="238"/>
    </font>
    <font>
      <b/>
      <sz val="8"/>
      <name val="Calibri Light"/>
      <family val="2"/>
      <charset val="238"/>
    </font>
  </fonts>
  <fills count="2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32F014"/>
        <bgColor indexed="64"/>
      </patternFill>
    </fill>
    <fill>
      <patternFill patternType="solid">
        <fgColor rgb="FFFFC000"/>
        <bgColor indexed="64"/>
      </patternFill>
    </fill>
    <fill>
      <patternFill patternType="solid">
        <fgColor rgb="FF92D050"/>
        <bgColor indexed="64"/>
      </patternFill>
    </fill>
    <fill>
      <patternFill patternType="solid">
        <fgColor rgb="FF41E396"/>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7030A0"/>
        <bgColor indexed="64"/>
      </patternFill>
    </fill>
    <fill>
      <patternFill patternType="solid">
        <fgColor theme="6" tint="-0.49998474074526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6"/>
        <bgColor indexed="64"/>
      </patternFill>
    </fill>
    <fill>
      <patternFill patternType="solid">
        <fgColor theme="3"/>
        <bgColor indexed="64"/>
      </patternFill>
    </fill>
    <fill>
      <patternFill patternType="solid">
        <fgColor rgb="FFFF9999"/>
        <bgColor indexed="64"/>
      </patternFill>
    </fill>
    <fill>
      <patternFill patternType="solid">
        <fgColor rgb="FF19D76F"/>
        <bgColor indexed="64"/>
      </patternFill>
    </fill>
  </fills>
  <borders count="94">
    <border>
      <left/>
      <right/>
      <top/>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ck">
        <color auto="1"/>
      </left>
      <right style="thin">
        <color auto="1"/>
      </right>
      <top style="thin">
        <color auto="1"/>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ck">
        <color auto="1"/>
      </left>
      <right style="thin">
        <color auto="1"/>
      </right>
      <top/>
      <bottom/>
      <diagonal/>
    </border>
    <border>
      <left style="thin">
        <color auto="1"/>
      </left>
      <right/>
      <top style="double">
        <color auto="1"/>
      </top>
      <bottom/>
      <diagonal/>
    </border>
    <border>
      <left/>
      <right style="thin">
        <color auto="1"/>
      </right>
      <top style="double">
        <color auto="1"/>
      </top>
      <bottom/>
      <diagonal/>
    </border>
    <border>
      <left style="double">
        <color auto="1"/>
      </left>
      <right style="thin">
        <color auto="1"/>
      </right>
      <top/>
      <bottom style="thin">
        <color auto="1"/>
      </bottom>
      <diagonal/>
    </border>
    <border>
      <left style="double">
        <color auto="1"/>
      </left>
      <right style="thin">
        <color auto="1"/>
      </right>
      <top style="thin">
        <color auto="1"/>
      </top>
      <bottom/>
      <diagonal/>
    </border>
    <border>
      <left style="thin">
        <color auto="1"/>
      </left>
      <right style="thick">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thin">
        <color auto="1"/>
      </right>
      <top style="thin">
        <color auto="1"/>
      </top>
      <bottom style="thin">
        <color auto="1"/>
      </bottom>
      <diagonal/>
    </border>
    <border>
      <left style="medium">
        <color indexed="64"/>
      </left>
      <right/>
      <top/>
      <bottom/>
      <diagonal/>
    </border>
    <border>
      <left/>
      <right style="medium">
        <color indexed="64"/>
      </right>
      <top/>
      <bottom/>
      <diagonal/>
    </border>
    <border>
      <left/>
      <right style="thin">
        <color auto="1"/>
      </right>
      <top/>
      <bottom style="thin">
        <color auto="1"/>
      </bottom>
      <diagonal/>
    </border>
    <border>
      <left/>
      <right/>
      <top style="thin">
        <color auto="1"/>
      </top>
      <bottom style="thin">
        <color auto="1"/>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style="thin">
        <color auto="1"/>
      </right>
      <top/>
      <bottom style="thin">
        <color auto="1"/>
      </bottom>
      <diagonal/>
    </border>
    <border>
      <left/>
      <right style="medium">
        <color indexed="64"/>
      </right>
      <top style="thin">
        <color auto="1"/>
      </top>
      <bottom style="thin">
        <color auto="1"/>
      </bottom>
      <diagonal/>
    </border>
    <border>
      <left style="thin">
        <color auto="1"/>
      </left>
      <right/>
      <top style="medium">
        <color indexed="64"/>
      </top>
      <bottom/>
      <diagonal/>
    </border>
    <border>
      <left/>
      <right style="thin">
        <color auto="1"/>
      </right>
      <top style="medium">
        <color indexed="64"/>
      </top>
      <bottom/>
      <diagonal/>
    </border>
    <border>
      <left style="thin">
        <color auto="1"/>
      </left>
      <right style="thin">
        <color auto="1"/>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medium">
        <color indexed="64"/>
      </left>
      <right style="thin">
        <color auto="1"/>
      </right>
      <top/>
      <bottom/>
      <diagonal/>
    </border>
    <border>
      <left style="medium">
        <color indexed="64"/>
      </left>
      <right style="thin">
        <color auto="1"/>
      </right>
      <top style="medium">
        <color indexed="64"/>
      </top>
      <bottom/>
      <diagonal/>
    </border>
    <border>
      <left style="thin">
        <color auto="1"/>
      </left>
      <right/>
      <top style="thin">
        <color auto="1"/>
      </top>
      <bottom style="medium">
        <color indexed="64"/>
      </bottom>
      <diagonal/>
    </border>
    <border>
      <left style="thin">
        <color auto="1"/>
      </left>
      <right style="medium">
        <color indexed="64"/>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indexed="64"/>
      </bottom>
      <diagonal/>
    </border>
    <border>
      <left/>
      <right style="medium">
        <color indexed="64"/>
      </right>
      <top style="medium">
        <color indexed="64"/>
      </top>
      <bottom/>
      <diagonal/>
    </border>
    <border>
      <left/>
      <right/>
      <top style="thin">
        <color auto="1"/>
      </top>
      <bottom style="medium">
        <color indexed="64"/>
      </bottom>
      <diagonal/>
    </border>
    <border>
      <left/>
      <right/>
      <top style="thin">
        <color auto="1"/>
      </top>
      <bottom/>
      <diagonal/>
    </border>
    <border>
      <left/>
      <right style="thin">
        <color indexed="64"/>
      </right>
      <top/>
      <bottom/>
      <diagonal/>
    </border>
    <border>
      <left/>
      <right style="medium">
        <color theme="0"/>
      </right>
      <top/>
      <bottom/>
      <diagonal/>
    </border>
    <border>
      <left style="medium">
        <color theme="0"/>
      </left>
      <right style="medium">
        <color theme="0"/>
      </right>
      <top style="medium">
        <color theme="0"/>
      </top>
      <bottom/>
      <diagonal/>
    </border>
    <border>
      <left style="medium">
        <color indexed="64"/>
      </left>
      <right/>
      <top style="thin">
        <color auto="1"/>
      </top>
      <bottom style="medium">
        <color indexed="64"/>
      </bottom>
      <diagonal/>
    </border>
  </borders>
  <cellStyleXfs count="13">
    <xf numFmtId="0" fontId="0" fillId="0" borderId="0"/>
    <xf numFmtId="9" fontId="11" fillId="0" borderId="0" applyFont="0" applyFill="0" applyBorder="0" applyAlignment="0" applyProtection="0"/>
    <xf numFmtId="164" fontId="11" fillId="0" borderId="0" applyFont="0" applyFill="0" applyBorder="0" applyAlignment="0" applyProtection="0"/>
    <xf numFmtId="0" fontId="12" fillId="0" borderId="0" applyNumberFormat="0" applyFill="0" applyBorder="0" applyAlignment="0" applyProtection="0"/>
    <xf numFmtId="0" fontId="4" fillId="0" borderId="0"/>
    <xf numFmtId="9" fontId="4" fillId="0" borderId="0" applyFont="0" applyFill="0" applyBorder="0" applyAlignment="0" applyProtection="0"/>
    <xf numFmtId="0" fontId="3" fillId="0" borderId="0"/>
    <xf numFmtId="0" fontId="11" fillId="0" borderId="0"/>
    <xf numFmtId="9" fontId="11" fillId="0" borderId="0" applyFont="0" applyFill="0" applyBorder="0" applyAlignment="0" applyProtection="0"/>
    <xf numFmtId="164" fontId="11" fillId="0" borderId="0" applyFont="0" applyFill="0" applyBorder="0" applyAlignment="0" applyProtection="0"/>
    <xf numFmtId="0" fontId="3" fillId="0" borderId="0"/>
    <xf numFmtId="9" fontId="3" fillId="0" borderId="0" applyFont="0" applyFill="0" applyBorder="0" applyAlignment="0" applyProtection="0"/>
    <xf numFmtId="0" fontId="73" fillId="0" borderId="0"/>
  </cellStyleXfs>
  <cellXfs count="1338">
    <xf numFmtId="0" fontId="0" fillId="0" borderId="0" xfId="0"/>
    <xf numFmtId="0" fontId="5" fillId="0" borderId="0" xfId="0" applyFont="1" applyAlignment="1">
      <alignment horizontal="center" vertical="center"/>
    </xf>
    <xf numFmtId="4" fontId="0" fillId="0" borderId="6" xfId="0" applyNumberFormat="1" applyBorder="1"/>
    <xf numFmtId="0" fontId="0" fillId="0" borderId="4" xfId="0" applyBorder="1"/>
    <xf numFmtId="0" fontId="0" fillId="0" borderId="6" xfId="0" applyBorder="1"/>
    <xf numFmtId="0" fontId="0" fillId="0" borderId="9" xfId="0" applyBorder="1"/>
    <xf numFmtId="0" fontId="0" fillId="0" borderId="0" xfId="0" applyAlignment="1">
      <alignment horizontal="center"/>
    </xf>
    <xf numFmtId="0" fontId="0" fillId="0" borderId="0" xfId="0" applyFill="1" applyAlignment="1">
      <alignment horizontal="center"/>
    </xf>
    <xf numFmtId="0" fontId="0" fillId="0" borderId="0" xfId="0" applyAlignment="1">
      <alignment horizontal="left"/>
    </xf>
    <xf numFmtId="9" fontId="0" fillId="0" borderId="0" xfId="0" applyNumberFormat="1" applyAlignment="1">
      <alignment horizontal="center" vertical="center" wrapText="1"/>
    </xf>
    <xf numFmtId="2" fontId="0" fillId="0" borderId="4" xfId="0" applyNumberFormat="1" applyBorder="1"/>
    <xf numFmtId="2" fontId="0" fillId="0" borderId="6" xfId="0" applyNumberFormat="1" applyBorder="1"/>
    <xf numFmtId="0" fontId="0" fillId="0" borderId="9" xfId="0" applyFill="1" applyBorder="1" applyAlignment="1">
      <alignment horizontal="center"/>
    </xf>
    <xf numFmtId="2" fontId="0" fillId="0" borderId="9" xfId="0" applyNumberFormat="1" applyBorder="1"/>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Fill="1" applyBorder="1" applyAlignment="1">
      <alignment horizontal="center" vertical="center"/>
    </xf>
    <xf numFmtId="4" fontId="0" fillId="0" borderId="9" xfId="0" applyNumberFormat="1" applyBorder="1"/>
    <xf numFmtId="4" fontId="0" fillId="0" borderId="4" xfId="0" applyNumberFormat="1" applyBorder="1"/>
    <xf numFmtId="4" fontId="0" fillId="0" borderId="15" xfId="0" applyNumberFormat="1" applyBorder="1"/>
    <xf numFmtId="165" fontId="0" fillId="0" borderId="9" xfId="0" applyNumberFormat="1" applyFill="1" applyBorder="1" applyAlignment="1">
      <alignment horizontal="center"/>
    </xf>
    <xf numFmtId="165" fontId="0" fillId="0" borderId="4" xfId="0" applyNumberFormat="1" applyFill="1" applyBorder="1" applyAlignment="1">
      <alignment horizontal="center"/>
    </xf>
    <xf numFmtId="165" fontId="0" fillId="0" borderId="6" xfId="0" applyNumberFormat="1" applyFill="1" applyBorder="1" applyAlignment="1">
      <alignment horizontal="center"/>
    </xf>
    <xf numFmtId="0" fontId="5" fillId="0" borderId="12" xfId="0" applyFont="1" applyBorder="1" applyAlignment="1">
      <alignment horizontal="center" vertical="center" wrapText="1"/>
    </xf>
    <xf numFmtId="0" fontId="0" fillId="0" borderId="6" xfId="0" applyFill="1" applyBorder="1" applyAlignment="1">
      <alignment horizontal="center"/>
    </xf>
    <xf numFmtId="0" fontId="0" fillId="0" borderId="0" xfId="0" applyFill="1" applyProtection="1">
      <protection locked="0"/>
    </xf>
    <xf numFmtId="0" fontId="0" fillId="0" borderId="4" xfId="0" applyFill="1" applyBorder="1" applyAlignment="1" applyProtection="1">
      <alignment horizontal="center" vertical="center"/>
      <protection locked="0"/>
    </xf>
    <xf numFmtId="0" fontId="0" fillId="0" borderId="4" xfId="0" applyFill="1" applyBorder="1" applyProtection="1">
      <protection locked="0"/>
    </xf>
    <xf numFmtId="0" fontId="0" fillId="0" borderId="4" xfId="0" applyFill="1" applyBorder="1" applyAlignment="1" applyProtection="1">
      <alignment horizontal="left" vertical="center"/>
      <protection locked="0"/>
    </xf>
    <xf numFmtId="0" fontId="0" fillId="0" borderId="0" xfId="0" applyFill="1" applyAlignment="1" applyProtection="1">
      <alignment wrapText="1"/>
      <protection locked="0"/>
    </xf>
    <xf numFmtId="2" fontId="0" fillId="0" borderId="4" xfId="0" applyNumberFormat="1" applyFill="1" applyBorder="1" applyAlignment="1" applyProtection="1">
      <alignment horizontal="center" vertical="center"/>
      <protection locked="0"/>
    </xf>
    <xf numFmtId="167" fontId="0" fillId="0" borderId="4" xfId="0" applyNumberFormat="1" applyFill="1" applyBorder="1" applyProtection="1">
      <protection locked="0"/>
    </xf>
    <xf numFmtId="0" fontId="8" fillId="0" borderId="0" xfId="0" applyFont="1" applyFill="1" applyAlignment="1" applyProtection="1">
      <alignment horizontal="center"/>
    </xf>
    <xf numFmtId="0" fontId="9" fillId="0" borderId="4" xfId="0" applyFont="1" applyBorder="1" applyAlignment="1">
      <alignment horizontal="center"/>
    </xf>
    <xf numFmtId="0" fontId="9" fillId="0" borderId="3" xfId="0" applyFont="1" applyFill="1" applyBorder="1" applyAlignment="1">
      <alignment horizontal="center"/>
    </xf>
    <xf numFmtId="0" fontId="8" fillId="2" borderId="15" xfId="0" applyFont="1" applyFill="1" applyBorder="1" applyAlignment="1" applyProtection="1">
      <alignment horizontal="center"/>
    </xf>
    <xf numFmtId="0" fontId="8" fillId="2" borderId="4" xfId="0" applyFont="1" applyFill="1" applyBorder="1" applyAlignment="1" applyProtection="1">
      <alignment horizontal="center"/>
    </xf>
    <xf numFmtId="0" fontId="8" fillId="2" borderId="26" xfId="0" applyFont="1" applyFill="1" applyBorder="1" applyAlignment="1" applyProtection="1">
      <alignment horizontal="center" vertical="top"/>
    </xf>
    <xf numFmtId="0" fontId="0" fillId="0" borderId="0" xfId="0" applyFill="1" applyAlignment="1" applyProtection="1">
      <alignment vertical="top"/>
      <protection locked="0"/>
    </xf>
    <xf numFmtId="0" fontId="0" fillId="0" borderId="0" xfId="0" applyFill="1"/>
    <xf numFmtId="0" fontId="8" fillId="0" borderId="4" xfId="0" applyFont="1" applyFill="1" applyBorder="1" applyAlignment="1" applyProtection="1">
      <alignment horizontal="center" vertical="center"/>
    </xf>
    <xf numFmtId="0" fontId="8" fillId="0" borderId="0" xfId="0" applyFont="1" applyFill="1" applyBorder="1" applyAlignment="1" applyProtection="1">
      <alignment horizontal="center"/>
    </xf>
    <xf numFmtId="0" fontId="0" fillId="0" borderId="0" xfId="0" applyFill="1" applyBorder="1" applyProtection="1">
      <protection locked="0"/>
    </xf>
    <xf numFmtId="0" fontId="8" fillId="0" borderId="4" xfId="0" applyFont="1" applyFill="1" applyBorder="1" applyAlignment="1" applyProtection="1">
      <alignment horizontal="center"/>
    </xf>
    <xf numFmtId="0" fontId="0" fillId="0" borderId="4" xfId="0" applyFill="1" applyBorder="1" applyAlignment="1" applyProtection="1">
      <alignment horizontal="center"/>
      <protection locked="0"/>
    </xf>
    <xf numFmtId="2" fontId="9" fillId="0" borderId="4" xfId="0" applyNumberFormat="1" applyFont="1" applyFill="1" applyBorder="1" applyAlignment="1" applyProtection="1">
      <alignment horizontal="center"/>
    </xf>
    <xf numFmtId="10" fontId="0" fillId="0" borderId="4" xfId="1" applyNumberFormat="1" applyFont="1" applyFill="1" applyBorder="1" applyProtection="1">
      <protection locked="0"/>
    </xf>
    <xf numFmtId="0" fontId="5" fillId="0" borderId="4" xfId="0" applyFont="1" applyFill="1" applyBorder="1" applyProtection="1">
      <protection locked="0"/>
    </xf>
    <xf numFmtId="0" fontId="0" fillId="0" borderId="15" xfId="0"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wrapText="1"/>
    </xf>
    <xf numFmtId="169" fontId="0" fillId="0" borderId="4" xfId="2" applyNumberFormat="1" applyFont="1" applyFill="1" applyBorder="1" applyProtection="1">
      <protection locked="0"/>
    </xf>
    <xf numFmtId="166" fontId="0" fillId="0" borderId="4" xfId="2" applyNumberFormat="1" applyFont="1" applyFill="1" applyBorder="1" applyProtection="1">
      <protection locked="0"/>
    </xf>
    <xf numFmtId="0" fontId="0" fillId="0" borderId="40" xfId="0" applyBorder="1"/>
    <xf numFmtId="0" fontId="0" fillId="0" borderId="41" xfId="0" applyBorder="1" applyAlignment="1">
      <alignment vertical="center" wrapText="1"/>
    </xf>
    <xf numFmtId="0" fontId="0" fillId="0" borderId="0" xfId="0" applyBorder="1" applyAlignment="1">
      <alignment vertical="center" wrapText="1"/>
    </xf>
    <xf numFmtId="0" fontId="12" fillId="0" borderId="0" xfId="3" applyBorder="1" applyAlignment="1">
      <alignment vertical="center" wrapText="1"/>
    </xf>
    <xf numFmtId="0" fontId="0" fillId="0" borderId="4" xfId="0" applyBorder="1" applyAlignment="1">
      <alignment vertical="center" wrapText="1"/>
    </xf>
    <xf numFmtId="0" fontId="10" fillId="0" borderId="4" xfId="0" applyFont="1" applyBorder="1" applyAlignment="1">
      <alignment vertical="center" wrapText="1"/>
    </xf>
    <xf numFmtId="0" fontId="0" fillId="0" borderId="4" xfId="0" applyFill="1" applyBorder="1" applyAlignment="1" applyProtection="1">
      <alignment vertical="top"/>
      <protection locked="0"/>
    </xf>
    <xf numFmtId="0" fontId="0" fillId="0" borderId="0" xfId="0" applyFill="1" applyBorder="1" applyAlignment="1" applyProtection="1">
      <alignment wrapText="1"/>
      <protection locked="0"/>
    </xf>
    <xf numFmtId="10" fontId="0" fillId="0" borderId="0" xfId="0" applyNumberFormat="1" applyFill="1" applyBorder="1" applyProtection="1">
      <protection locked="0"/>
    </xf>
    <xf numFmtId="0" fontId="6" fillId="0" borderId="0" xfId="0" applyFont="1" applyFill="1" applyBorder="1" applyAlignment="1">
      <alignment horizontal="center" wrapText="1"/>
    </xf>
    <xf numFmtId="166" fontId="0" fillId="0" borderId="4" xfId="0" applyNumberFormat="1" applyFill="1" applyBorder="1" applyAlignment="1" applyProtection="1">
      <alignment horizontal="center" vertical="center"/>
      <protection locked="0"/>
    </xf>
    <xf numFmtId="167" fontId="0" fillId="0" borderId="0" xfId="0" applyNumberFormat="1" applyFill="1" applyBorder="1" applyProtection="1">
      <protection locked="0"/>
    </xf>
    <xf numFmtId="164" fontId="0" fillId="0" borderId="4" xfId="2" applyNumberFormat="1" applyFont="1" applyFill="1" applyBorder="1" applyProtection="1">
      <protection locked="0"/>
    </xf>
    <xf numFmtId="3" fontId="13" fillId="0" borderId="4" xfId="0" applyNumberFormat="1" applyFont="1" applyFill="1" applyBorder="1" applyAlignment="1">
      <alignment horizontal="center" vertical="center" wrapText="1"/>
    </xf>
    <xf numFmtId="166" fontId="19" fillId="0" borderId="4" xfId="2" applyNumberFormat="1" applyFont="1" applyFill="1" applyBorder="1" applyAlignment="1" applyProtection="1">
      <alignment horizontal="center"/>
      <protection locked="0"/>
    </xf>
    <xf numFmtId="3" fontId="13" fillId="0" borderId="4" xfId="0" applyNumberFormat="1" applyFont="1" applyFill="1" applyBorder="1"/>
    <xf numFmtId="0" fontId="16" fillId="0" borderId="44" xfId="0" applyFont="1" applyFill="1" applyBorder="1" applyAlignment="1" applyProtection="1">
      <alignment horizontal="center" vertical="center"/>
    </xf>
    <xf numFmtId="166" fontId="19" fillId="0" borderId="45" xfId="2" applyNumberFormat="1" applyFont="1" applyFill="1" applyBorder="1" applyAlignment="1" applyProtection="1">
      <alignment horizontal="center"/>
      <protection locked="0"/>
    </xf>
    <xf numFmtId="3" fontId="17" fillId="0" borderId="4" xfId="0" applyNumberFormat="1" applyFont="1" applyFill="1" applyBorder="1" applyAlignment="1">
      <alignment horizontal="center" vertical="center" wrapText="1"/>
    </xf>
    <xf numFmtId="3" fontId="17" fillId="0" borderId="45" xfId="0" applyNumberFormat="1" applyFont="1" applyFill="1" applyBorder="1" applyAlignment="1">
      <alignment horizontal="center" vertical="center" wrapText="1"/>
    </xf>
    <xf numFmtId="0" fontId="5" fillId="0" borderId="0" xfId="0" applyFont="1" applyFill="1" applyProtection="1">
      <protection locked="0"/>
    </xf>
    <xf numFmtId="0" fontId="0" fillId="0" borderId="42" xfId="0" applyBorder="1" applyAlignment="1">
      <alignment horizontal="center" vertical="center" wrapText="1"/>
    </xf>
    <xf numFmtId="0" fontId="0" fillId="0" borderId="4" xfId="0" applyBorder="1" applyAlignment="1">
      <alignment horizontal="center" vertical="center" wrapText="1"/>
    </xf>
    <xf numFmtId="0" fontId="0" fillId="0" borderId="43" xfId="0" applyBorder="1" applyAlignment="1">
      <alignment horizontal="center" vertical="center" wrapText="1"/>
    </xf>
    <xf numFmtId="0" fontId="21" fillId="0" borderId="0" xfId="0" applyFont="1" applyFill="1" applyAlignment="1" applyProtection="1">
      <alignment horizontal="center"/>
    </xf>
    <xf numFmtId="2" fontId="27" fillId="0" borderId="4" xfId="0" applyNumberFormat="1" applyFont="1" applyFill="1" applyBorder="1" applyAlignment="1" applyProtection="1">
      <alignment horizontal="center"/>
      <protection locked="0"/>
    </xf>
    <xf numFmtId="0" fontId="27" fillId="0" borderId="0" xfId="0" applyFont="1" applyFill="1" applyAlignment="1" applyProtection="1">
      <alignment horizontal="center"/>
      <protection locked="0"/>
    </xf>
    <xf numFmtId="0" fontId="27" fillId="0" borderId="0" xfId="0" applyFont="1" applyFill="1" applyProtection="1">
      <protection locked="0"/>
    </xf>
    <xf numFmtId="0" fontId="27" fillId="0" borderId="0" xfId="0" applyFont="1" applyFill="1" applyBorder="1" applyProtection="1">
      <protection locked="0"/>
    </xf>
    <xf numFmtId="49" fontId="29" fillId="0" borderId="0" xfId="0" applyNumberFormat="1" applyFont="1" applyFill="1" applyBorder="1" applyProtection="1">
      <protection locked="0"/>
    </xf>
    <xf numFmtId="0" fontId="28" fillId="0" borderId="0" xfId="0" applyFont="1" applyFill="1" applyBorder="1" applyAlignment="1" applyProtection="1">
      <alignment wrapText="1"/>
      <protection locked="0"/>
    </xf>
    <xf numFmtId="0" fontId="27" fillId="0" borderId="0" xfId="0" applyFont="1" applyFill="1" applyBorder="1" applyAlignment="1" applyProtection="1">
      <alignment horizontal="center"/>
      <protection locked="0"/>
    </xf>
    <xf numFmtId="0" fontId="27" fillId="0" borderId="0" xfId="0" applyFont="1" applyFill="1" applyBorder="1" applyAlignment="1" applyProtection="1">
      <alignment horizontal="center" wrapText="1"/>
      <protection locked="0"/>
    </xf>
    <xf numFmtId="2" fontId="27" fillId="0" borderId="0" xfId="0" applyNumberFormat="1" applyFont="1" applyFill="1" applyBorder="1" applyAlignment="1" applyProtection="1">
      <alignment horizontal="center"/>
      <protection locked="0"/>
    </xf>
    <xf numFmtId="0" fontId="27" fillId="0" borderId="4" xfId="0" applyFont="1" applyFill="1" applyBorder="1" applyAlignment="1" applyProtection="1">
      <alignment horizontal="center"/>
      <protection locked="0"/>
    </xf>
    <xf numFmtId="0" fontId="28" fillId="0" borderId="4" xfId="0" applyFont="1" applyFill="1" applyBorder="1" applyAlignment="1">
      <alignment horizontal="right"/>
    </xf>
    <xf numFmtId="0" fontId="27" fillId="0" borderId="4" xfId="0" applyFont="1" applyFill="1" applyBorder="1" applyAlignment="1" applyProtection="1">
      <alignment horizontal="center" vertical="center"/>
      <protection locked="0"/>
    </xf>
    <xf numFmtId="167" fontId="27" fillId="0" borderId="4" xfId="0" applyNumberFormat="1" applyFont="1" applyFill="1" applyBorder="1" applyAlignment="1" applyProtection="1">
      <alignment horizontal="center"/>
      <protection locked="0"/>
    </xf>
    <xf numFmtId="0" fontId="27" fillId="0" borderId="4" xfId="0" applyFont="1" applyFill="1" applyBorder="1" applyAlignment="1" applyProtection="1">
      <alignment horizontal="center" wrapText="1"/>
      <protection locked="0"/>
    </xf>
    <xf numFmtId="0" fontId="27" fillId="0" borderId="43" xfId="0" applyFont="1" applyFill="1" applyBorder="1" applyAlignment="1" applyProtection="1">
      <alignment horizontal="center" wrapText="1"/>
      <protection locked="0"/>
    </xf>
    <xf numFmtId="0" fontId="0" fillId="0" borderId="4" xfId="0" applyFill="1" applyBorder="1" applyAlignment="1" applyProtection="1">
      <alignment vertical="top"/>
      <protection locked="0"/>
    </xf>
    <xf numFmtId="0" fontId="8" fillId="2" borderId="4" xfId="0" applyFont="1" applyFill="1" applyBorder="1" applyAlignment="1" applyProtection="1">
      <alignment horizontal="center" vertical="center" wrapText="1"/>
    </xf>
    <xf numFmtId="0" fontId="0" fillId="0" borderId="15" xfId="0" applyFill="1" applyBorder="1" applyAlignment="1" applyProtection="1">
      <alignment horizontal="left" vertical="center" wrapText="1"/>
      <protection locked="0"/>
    </xf>
    <xf numFmtId="0" fontId="33" fillId="0" borderId="0" xfId="0" applyFont="1" applyFill="1" applyAlignment="1" applyProtection="1">
      <alignment horizontal="center"/>
    </xf>
    <xf numFmtId="0" fontId="33" fillId="0" borderId="35" xfId="0" applyFont="1" applyFill="1" applyBorder="1" applyAlignment="1" applyProtection="1">
      <alignment horizontal="center" vertical="center"/>
    </xf>
    <xf numFmtId="0" fontId="33" fillId="0" borderId="4" xfId="0" applyFont="1" applyFill="1" applyBorder="1" applyAlignment="1" applyProtection="1">
      <alignment horizontal="center" vertical="center"/>
    </xf>
    <xf numFmtId="0" fontId="33" fillId="0" borderId="4" xfId="0" applyFont="1" applyFill="1" applyBorder="1" applyAlignment="1" applyProtection="1">
      <alignment horizontal="center"/>
    </xf>
    <xf numFmtId="0" fontId="33" fillId="0" borderId="0" xfId="0" applyFont="1" applyFill="1" applyBorder="1" applyAlignment="1" applyProtection="1">
      <alignment horizontal="center"/>
    </xf>
    <xf numFmtId="0" fontId="35" fillId="0" borderId="4" xfId="0" applyFont="1" applyFill="1" applyBorder="1" applyProtection="1">
      <protection locked="0"/>
    </xf>
    <xf numFmtId="0" fontId="35" fillId="0" borderId="0" xfId="0" applyFont="1" applyFill="1" applyBorder="1" applyProtection="1">
      <protection locked="0"/>
    </xf>
    <xf numFmtId="0" fontId="35" fillId="0" borderId="0" xfId="0" applyFont="1" applyFill="1" applyAlignment="1" applyProtection="1">
      <alignment horizontal="center"/>
      <protection locked="0"/>
    </xf>
    <xf numFmtId="0" fontId="35" fillId="0" borderId="0" xfId="0" applyFont="1" applyFill="1" applyProtection="1">
      <protection locked="0"/>
    </xf>
    <xf numFmtId="0" fontId="33" fillId="0" borderId="9" xfId="0" applyFont="1" applyFill="1" applyBorder="1" applyAlignment="1" applyProtection="1">
      <alignment horizontal="center" vertical="center"/>
      <protection locked="0"/>
    </xf>
    <xf numFmtId="10" fontId="35" fillId="3" borderId="0" xfId="1" applyNumberFormat="1" applyFont="1" applyFill="1" applyProtection="1">
      <protection locked="0"/>
    </xf>
    <xf numFmtId="10" fontId="35" fillId="0" borderId="4" xfId="0" applyNumberFormat="1" applyFont="1" applyFill="1" applyBorder="1" applyProtection="1">
      <protection locked="0"/>
    </xf>
    <xf numFmtId="0" fontId="34" fillId="0" borderId="4" xfId="0" applyFont="1" applyFill="1" applyBorder="1" applyAlignment="1">
      <alignment horizontal="center" wrapText="1"/>
    </xf>
    <xf numFmtId="10" fontId="35" fillId="0" borderId="0" xfId="0" applyNumberFormat="1" applyFont="1" applyFill="1" applyProtection="1">
      <protection locked="0"/>
    </xf>
    <xf numFmtId="2" fontId="35" fillId="0" borderId="0" xfId="0" applyNumberFormat="1"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5" fillId="0" borderId="31" xfId="0" applyFont="1" applyFill="1" applyBorder="1" applyAlignment="1" applyProtection="1">
      <alignment horizontal="left"/>
      <protection locked="0"/>
    </xf>
    <xf numFmtId="0" fontId="8" fillId="2" borderId="4" xfId="0" applyFont="1" applyFill="1" applyBorder="1" applyAlignment="1">
      <alignment horizontal="center"/>
    </xf>
    <xf numFmtId="0" fontId="8" fillId="2" borderId="14" xfId="0" applyFont="1" applyFill="1" applyBorder="1" applyAlignment="1">
      <alignment horizontal="center"/>
    </xf>
    <xf numFmtId="0" fontId="8" fillId="0" borderId="4" xfId="0" applyFont="1" applyFill="1" applyBorder="1" applyAlignment="1" applyProtection="1">
      <alignment horizontal="center" vertical="center" wrapText="1"/>
    </xf>
    <xf numFmtId="0" fontId="0" fillId="0" borderId="4" xfId="0" applyFill="1" applyBorder="1" applyAlignment="1" applyProtection="1">
      <alignment horizontal="right"/>
      <protection locked="0"/>
    </xf>
    <xf numFmtId="2" fontId="0" fillId="0" borderId="4" xfId="0" applyNumberFormat="1" applyFill="1" applyBorder="1" applyProtection="1">
      <protection locked="0"/>
    </xf>
    <xf numFmtId="168" fontId="0" fillId="0" borderId="4" xfId="2" applyNumberFormat="1" applyFont="1" applyFill="1" applyBorder="1" applyProtection="1">
      <protection locked="0"/>
    </xf>
    <xf numFmtId="0" fontId="8" fillId="3" borderId="4" xfId="0" applyFont="1" applyFill="1" applyBorder="1" applyAlignment="1" applyProtection="1">
      <alignment horizontal="center"/>
    </xf>
    <xf numFmtId="0" fontId="36" fillId="0" borderId="0" xfId="0" applyFont="1" applyFill="1" applyProtection="1">
      <protection locked="0"/>
    </xf>
    <xf numFmtId="0" fontId="33" fillId="0" borderId="0" xfId="0" applyFont="1" applyFill="1" applyBorder="1" applyAlignment="1" applyProtection="1">
      <alignment horizontal="left"/>
      <protection locked="0"/>
    </xf>
    <xf numFmtId="0" fontId="33" fillId="0" borderId="31" xfId="0" applyFont="1" applyFill="1" applyBorder="1" applyAlignment="1" applyProtection="1">
      <alignment horizontal="left"/>
      <protection locked="0"/>
    </xf>
    <xf numFmtId="0" fontId="37" fillId="0" borderId="0" xfId="4" applyFont="1"/>
    <xf numFmtId="2" fontId="38" fillId="3" borderId="33" xfId="4" applyNumberFormat="1" applyFont="1" applyFill="1" applyBorder="1" applyAlignment="1">
      <alignment horizontal="center" vertical="center" wrapText="1"/>
    </xf>
    <xf numFmtId="0" fontId="37" fillId="3" borderId="33" xfId="4" applyFont="1" applyFill="1" applyBorder="1"/>
    <xf numFmtId="2" fontId="38" fillId="3" borderId="34" xfId="4" applyNumberFormat="1" applyFont="1" applyFill="1" applyBorder="1" applyAlignment="1">
      <alignment horizontal="center" vertical="center" wrapText="1"/>
    </xf>
    <xf numFmtId="0" fontId="38" fillId="3" borderId="4" xfId="4" applyFont="1" applyFill="1" applyBorder="1" applyAlignment="1">
      <alignment horizontal="center" vertical="center"/>
    </xf>
    <xf numFmtId="0" fontId="38" fillId="3" borderId="43" xfId="4" applyFont="1" applyFill="1" applyBorder="1" applyAlignment="1">
      <alignment horizontal="center" vertical="center"/>
    </xf>
    <xf numFmtId="0" fontId="37" fillId="0" borderId="42" xfId="4" applyFont="1" applyBorder="1"/>
    <xf numFmtId="0" fontId="37" fillId="0" borderId="0" xfId="4" applyFont="1" applyBorder="1"/>
    <xf numFmtId="0" fontId="37" fillId="0" borderId="4" xfId="4" applyFont="1" applyBorder="1"/>
    <xf numFmtId="0" fontId="37" fillId="0" borderId="4" xfId="4" applyFont="1" applyBorder="1" applyAlignment="1">
      <alignment horizontal="center" vertical="center"/>
    </xf>
    <xf numFmtId="0" fontId="37" fillId="0" borderId="43" xfId="4" applyFont="1" applyBorder="1"/>
    <xf numFmtId="0" fontId="37" fillId="0" borderId="42" xfId="4" applyFont="1" applyBorder="1" applyAlignment="1">
      <alignment horizontal="center" vertical="center"/>
    </xf>
    <xf numFmtId="0" fontId="37" fillId="0" borderId="43" xfId="4" applyFont="1" applyFill="1" applyBorder="1"/>
    <xf numFmtId="0" fontId="37" fillId="0" borderId="44" xfId="4" applyFont="1" applyBorder="1" applyAlignment="1">
      <alignment horizontal="center" vertical="center"/>
    </xf>
    <xf numFmtId="0" fontId="37" fillId="0" borderId="45" xfId="4" applyFont="1" applyBorder="1" applyAlignment="1">
      <alignment horizontal="center" vertical="center"/>
    </xf>
    <xf numFmtId="0" fontId="37" fillId="0" borderId="45" xfId="4" applyFont="1" applyBorder="1"/>
    <xf numFmtId="0" fontId="37" fillId="0" borderId="46" xfId="4" applyFont="1" applyBorder="1"/>
    <xf numFmtId="3" fontId="37" fillId="0" borderId="0" xfId="4" applyNumberFormat="1" applyFont="1"/>
    <xf numFmtId="0" fontId="38" fillId="0" borderId="0" xfId="4" applyFont="1" applyBorder="1" applyAlignment="1">
      <alignment horizontal="center" vertical="center"/>
    </xf>
    <xf numFmtId="0" fontId="38" fillId="0" borderId="0" xfId="4" applyFont="1" applyAlignment="1">
      <alignment horizontal="center" vertical="center"/>
    </xf>
    <xf numFmtId="166" fontId="0" fillId="0" borderId="4" xfId="0" applyNumberFormat="1" applyFill="1" applyBorder="1" applyAlignment="1" applyProtection="1">
      <alignment horizontal="right"/>
      <protection locked="0"/>
    </xf>
    <xf numFmtId="0" fontId="15" fillId="0" borderId="4" xfId="0" applyFont="1" applyBorder="1" applyAlignment="1">
      <alignment horizontal="justify" vertical="center" wrapText="1"/>
    </xf>
    <xf numFmtId="3" fontId="40" fillId="0" borderId="4" xfId="0" applyNumberFormat="1" applyFont="1" applyBorder="1" applyAlignment="1">
      <alignment horizontal="center" vertical="center" wrapText="1"/>
    </xf>
    <xf numFmtId="10" fontId="40" fillId="0" borderId="4" xfId="0" applyNumberFormat="1" applyFont="1" applyBorder="1" applyAlignment="1">
      <alignment horizontal="center" vertical="center" wrapText="1"/>
    </xf>
    <xf numFmtId="9" fontId="40" fillId="0" borderId="4" xfId="0" applyNumberFormat="1" applyFont="1" applyBorder="1" applyAlignment="1">
      <alignment horizontal="center" vertical="center" wrapText="1"/>
    </xf>
    <xf numFmtId="0" fontId="14" fillId="3" borderId="4" xfId="0" applyFont="1" applyFill="1" applyBorder="1" applyAlignment="1">
      <alignment horizontal="center" vertical="center" wrapText="1"/>
    </xf>
    <xf numFmtId="0" fontId="0" fillId="3" borderId="33" xfId="0" applyFill="1" applyBorder="1"/>
    <xf numFmtId="0" fontId="15" fillId="3" borderId="4" xfId="0" applyFont="1" applyFill="1" applyBorder="1" applyAlignment="1">
      <alignment horizontal="justify" vertical="center" wrapText="1"/>
    </xf>
    <xf numFmtId="0" fontId="10" fillId="3" borderId="4" xfId="0" applyFont="1" applyFill="1" applyBorder="1" applyAlignment="1" applyProtection="1">
      <alignment horizontal="center" wrapText="1"/>
      <protection locked="0"/>
    </xf>
    <xf numFmtId="0" fontId="18" fillId="3" borderId="4" xfId="0" applyFont="1" applyFill="1" applyBorder="1" applyAlignment="1">
      <alignment horizontal="left" vertical="center" wrapText="1"/>
    </xf>
    <xf numFmtId="0" fontId="13" fillId="0" borderId="4" xfId="0" applyFont="1" applyFill="1" applyBorder="1" applyAlignment="1">
      <alignment horizontal="center" vertical="center" wrapText="1"/>
    </xf>
    <xf numFmtId="0" fontId="16" fillId="3" borderId="43" xfId="0" applyFont="1" applyFill="1" applyBorder="1" applyAlignment="1" applyProtection="1">
      <alignment horizontal="center" vertical="center"/>
    </xf>
    <xf numFmtId="0" fontId="18" fillId="0" borderId="42" xfId="0" applyFont="1" applyBorder="1" applyAlignment="1">
      <alignment horizontal="left" vertical="center" wrapText="1"/>
    </xf>
    <xf numFmtId="0" fontId="27" fillId="0" borderId="0" xfId="0" applyFont="1"/>
    <xf numFmtId="0" fontId="41" fillId="0" borderId="0" xfId="0" applyFont="1" applyFill="1" applyBorder="1" applyAlignment="1" applyProtection="1">
      <alignment horizontal="left"/>
      <protection locked="0"/>
    </xf>
    <xf numFmtId="0" fontId="42" fillId="0" borderId="0" xfId="0" applyFont="1" applyFill="1" applyProtection="1">
      <protection locked="0"/>
    </xf>
    <xf numFmtId="167" fontId="0" fillId="6" borderId="4" xfId="0" applyNumberFormat="1" applyFill="1" applyBorder="1" applyAlignment="1" applyProtection="1">
      <alignment horizontal="center"/>
      <protection locked="0"/>
    </xf>
    <xf numFmtId="0" fontId="33" fillId="0" borderId="14" xfId="0" applyFont="1" applyFill="1" applyBorder="1" applyAlignment="1" applyProtection="1">
      <alignment horizontal="center" vertical="center"/>
    </xf>
    <xf numFmtId="0" fontId="33" fillId="0" borderId="32" xfId="0" applyFont="1" applyFill="1" applyBorder="1" applyAlignment="1" applyProtection="1">
      <alignment horizontal="center" vertical="center"/>
    </xf>
    <xf numFmtId="0" fontId="33" fillId="0" borderId="33" xfId="0" applyFont="1" applyFill="1" applyBorder="1" applyAlignment="1" applyProtection="1">
      <alignment horizontal="center" vertical="center"/>
    </xf>
    <xf numFmtId="0" fontId="33" fillId="0" borderId="34" xfId="0" applyFont="1" applyFill="1" applyBorder="1" applyAlignment="1" applyProtection="1">
      <alignment horizontal="center" vertical="center"/>
    </xf>
    <xf numFmtId="2" fontId="35" fillId="0" borderId="4" xfId="0" applyNumberFormat="1" applyFont="1" applyFill="1" applyBorder="1" applyProtection="1">
      <protection locked="0"/>
    </xf>
    <xf numFmtId="9" fontId="35" fillId="0" borderId="0" xfId="1" applyFont="1" applyFill="1" applyAlignment="1" applyProtection="1">
      <alignment horizontal="center"/>
      <protection locked="0"/>
    </xf>
    <xf numFmtId="2" fontId="35" fillId="0" borderId="0" xfId="0" applyNumberFormat="1" applyFont="1" applyFill="1" applyProtection="1">
      <protection locked="0"/>
    </xf>
    <xf numFmtId="0" fontId="0" fillId="0" borderId="0" xfId="0" applyBorder="1"/>
    <xf numFmtId="168" fontId="0" fillId="0" borderId="4" xfId="1" applyNumberFormat="1" applyFont="1" applyFill="1" applyBorder="1" applyProtection="1">
      <protection locked="0"/>
    </xf>
    <xf numFmtId="164" fontId="43" fillId="0" borderId="4" xfId="0" applyNumberFormat="1" applyFont="1" applyFill="1" applyBorder="1"/>
    <xf numFmtId="0" fontId="44" fillId="0" borderId="42" xfId="4" applyFont="1" applyBorder="1"/>
    <xf numFmtId="0" fontId="44" fillId="0" borderId="4" xfId="4" applyFont="1" applyBorder="1"/>
    <xf numFmtId="2" fontId="45" fillId="0" borderId="4" xfId="4" applyNumberFormat="1" applyFont="1" applyBorder="1" applyAlignment="1">
      <alignment wrapText="1"/>
    </xf>
    <xf numFmtId="0" fontId="45" fillId="0" borderId="42" xfId="4" applyFont="1" applyBorder="1"/>
    <xf numFmtId="0" fontId="45" fillId="0" borderId="0" xfId="4" applyFont="1" applyBorder="1"/>
    <xf numFmtId="0" fontId="45" fillId="0" borderId="4" xfId="4" applyFont="1" applyBorder="1"/>
    <xf numFmtId="0" fontId="46" fillId="0" borderId="43" xfId="4" applyFont="1" applyBorder="1"/>
    <xf numFmtId="0" fontId="46" fillId="0" borderId="4" xfId="4" applyFont="1" applyBorder="1"/>
    <xf numFmtId="0" fontId="45" fillId="0" borderId="43" xfId="4" applyFont="1" applyBorder="1"/>
    <xf numFmtId="0" fontId="44" fillId="0" borderId="42" xfId="4" applyFont="1" applyBorder="1" applyAlignment="1">
      <alignment horizontal="left" vertical="top"/>
    </xf>
    <xf numFmtId="0" fontId="44" fillId="0" borderId="4" xfId="4" applyFont="1" applyBorder="1" applyAlignment="1">
      <alignment horizontal="left" vertical="top"/>
    </xf>
    <xf numFmtId="0" fontId="44" fillId="0" borderId="43" xfId="4" applyFont="1" applyBorder="1" applyAlignment="1">
      <alignment horizontal="left" vertical="top"/>
    </xf>
    <xf numFmtId="3" fontId="45" fillId="0" borderId="4" xfId="4" applyNumberFormat="1" applyFont="1" applyBorder="1" applyAlignment="1"/>
    <xf numFmtId="3" fontId="46" fillId="0" borderId="43" xfId="4" applyNumberFormat="1" applyFont="1" applyBorder="1" applyAlignment="1"/>
    <xf numFmtId="0" fontId="44" fillId="0" borderId="42" xfId="4" applyFont="1" applyBorder="1" applyAlignment="1">
      <alignment horizontal="left" vertical="top" wrapText="1"/>
    </xf>
    <xf numFmtId="9" fontId="42" fillId="0" borderId="4" xfId="5" applyFont="1" applyBorder="1" applyAlignment="1"/>
    <xf numFmtId="9" fontId="42" fillId="0" borderId="43" xfId="5" applyFont="1" applyBorder="1" applyAlignment="1"/>
    <xf numFmtId="9" fontId="45" fillId="0" borderId="4" xfId="4" applyNumberFormat="1" applyFont="1" applyBorder="1" applyAlignment="1"/>
    <xf numFmtId="168" fontId="45" fillId="0" borderId="4" xfId="4" applyNumberFormat="1" applyFont="1" applyBorder="1" applyAlignment="1"/>
    <xf numFmtId="0" fontId="45" fillId="0" borderId="42" xfId="4" applyFont="1" applyFill="1" applyBorder="1"/>
    <xf numFmtId="0" fontId="45" fillId="0" borderId="4" xfId="4" applyFont="1" applyFill="1" applyBorder="1"/>
    <xf numFmtId="0" fontId="45" fillId="0" borderId="47" xfId="4" applyFont="1" applyBorder="1"/>
    <xf numFmtId="0" fontId="44" fillId="0" borderId="51" xfId="4" applyFont="1" applyBorder="1" applyAlignment="1">
      <alignment vertical="top"/>
    </xf>
    <xf numFmtId="0" fontId="44" fillId="0" borderId="39" xfId="4" applyFont="1" applyBorder="1" applyAlignment="1">
      <alignment vertical="top"/>
    </xf>
    <xf numFmtId="3" fontId="44" fillId="0" borderId="43" xfId="4" applyNumberFormat="1" applyFont="1" applyBorder="1" applyAlignment="1">
      <alignment vertical="top"/>
    </xf>
    <xf numFmtId="3" fontId="45" fillId="0" borderId="43" xfId="4" applyNumberFormat="1" applyFont="1" applyBorder="1" applyAlignment="1"/>
    <xf numFmtId="0" fontId="45" fillId="0" borderId="61" xfId="4" applyFont="1" applyFill="1" applyBorder="1"/>
    <xf numFmtId="0" fontId="45" fillId="0" borderId="15" xfId="4" applyFont="1" applyFill="1" applyBorder="1"/>
    <xf numFmtId="3" fontId="45" fillId="0" borderId="15" xfId="4" applyNumberFormat="1" applyFont="1" applyBorder="1" applyAlignment="1"/>
    <xf numFmtId="3" fontId="45" fillId="0" borderId="47" xfId="4" applyNumberFormat="1" applyFont="1" applyBorder="1" applyAlignment="1"/>
    <xf numFmtId="0" fontId="44" fillId="0" borderId="59" xfId="4" applyFont="1" applyBorder="1" applyAlignment="1">
      <alignment vertical="top"/>
    </xf>
    <xf numFmtId="0" fontId="44" fillId="0" borderId="58" xfId="4" applyFont="1" applyBorder="1" applyAlignment="1">
      <alignment vertical="top"/>
    </xf>
    <xf numFmtId="3" fontId="44" fillId="0" borderId="57" xfId="4" applyNumberFormat="1" applyFont="1" applyBorder="1" applyAlignment="1">
      <alignment vertical="top"/>
    </xf>
    <xf numFmtId="0" fontId="45" fillId="0" borderId="32" xfId="4" applyFont="1" applyFill="1" applyBorder="1"/>
    <xf numFmtId="0" fontId="45" fillId="0" borderId="62" xfId="4" applyFont="1" applyFill="1" applyBorder="1"/>
    <xf numFmtId="3" fontId="45" fillId="4" borderId="33" xfId="4" applyNumberFormat="1" applyFont="1" applyFill="1" applyBorder="1" applyAlignment="1"/>
    <xf numFmtId="3" fontId="46" fillId="4" borderId="34" xfId="4" applyNumberFormat="1" applyFont="1" applyFill="1" applyBorder="1" applyAlignment="1"/>
    <xf numFmtId="0" fontId="45" fillId="0" borderId="35" xfId="4" applyFont="1" applyFill="1" applyBorder="1"/>
    <xf numFmtId="3" fontId="45" fillId="4" borderId="4" xfId="4" applyNumberFormat="1" applyFont="1" applyFill="1" applyBorder="1" applyAlignment="1"/>
    <xf numFmtId="3" fontId="46" fillId="4" borderId="43" xfId="4" applyNumberFormat="1" applyFont="1" applyFill="1" applyBorder="1" applyAlignment="1"/>
    <xf numFmtId="0" fontId="45" fillId="0" borderId="44" xfId="4" applyFont="1" applyBorder="1"/>
    <xf numFmtId="0" fontId="45" fillId="0" borderId="63" xfId="4" applyFont="1" applyBorder="1"/>
    <xf numFmtId="3" fontId="45" fillId="4" borderId="45" xfId="4" applyNumberFormat="1" applyFont="1" applyFill="1" applyBorder="1" applyAlignment="1"/>
    <xf numFmtId="3" fontId="46" fillId="4" borderId="46" xfId="4" applyNumberFormat="1" applyFont="1" applyFill="1" applyBorder="1" applyAlignment="1"/>
    <xf numFmtId="0" fontId="44" fillId="0" borderId="64" xfId="4" applyFont="1" applyFill="1" applyBorder="1"/>
    <xf numFmtId="0" fontId="44" fillId="0" borderId="0" xfId="4" applyFont="1" applyFill="1" applyBorder="1"/>
    <xf numFmtId="3" fontId="45" fillId="0" borderId="33" xfId="4" applyNumberFormat="1" applyFont="1" applyBorder="1" applyAlignment="1"/>
    <xf numFmtId="3" fontId="46" fillId="0" borderId="34" xfId="4" applyNumberFormat="1" applyFont="1" applyBorder="1" applyAlignment="1"/>
    <xf numFmtId="3" fontId="45" fillId="0" borderId="45" xfId="4" applyNumberFormat="1" applyFont="1" applyBorder="1" applyAlignment="1"/>
    <xf numFmtId="3" fontId="46" fillId="0" borderId="46" xfId="4" applyNumberFormat="1" applyFont="1" applyBorder="1" applyAlignment="1"/>
    <xf numFmtId="0" fontId="44" fillId="0" borderId="36" xfId="4" applyFont="1" applyFill="1" applyBorder="1"/>
    <xf numFmtId="170" fontId="45" fillId="0" borderId="33" xfId="4" applyNumberFormat="1" applyFont="1" applyBorder="1" applyAlignment="1"/>
    <xf numFmtId="170" fontId="46" fillId="0" borderId="34" xfId="4" applyNumberFormat="1" applyFont="1" applyBorder="1" applyAlignment="1"/>
    <xf numFmtId="170" fontId="45" fillId="0" borderId="4" xfId="4" applyNumberFormat="1" applyFont="1" applyBorder="1" applyAlignment="1"/>
    <xf numFmtId="170" fontId="46" fillId="0" borderId="43" xfId="4" applyNumberFormat="1" applyFont="1" applyBorder="1" applyAlignment="1"/>
    <xf numFmtId="170" fontId="45" fillId="0" borderId="45" xfId="4" applyNumberFormat="1" applyFont="1" applyBorder="1" applyAlignment="1"/>
    <xf numFmtId="170" fontId="46" fillId="0" borderId="46" xfId="4" applyNumberFormat="1" applyFont="1" applyBorder="1" applyAlignment="1"/>
    <xf numFmtId="170" fontId="45" fillId="0" borderId="33" xfId="4" applyNumberFormat="1" applyFont="1" applyBorder="1"/>
    <xf numFmtId="170" fontId="46" fillId="0" borderId="34" xfId="4" applyNumberFormat="1" applyFont="1" applyBorder="1"/>
    <xf numFmtId="170" fontId="45" fillId="0" borderId="4" xfId="4" applyNumberFormat="1" applyFont="1" applyBorder="1"/>
    <xf numFmtId="170" fontId="46" fillId="0" borderId="43" xfId="4" applyNumberFormat="1" applyFont="1" applyBorder="1"/>
    <xf numFmtId="170" fontId="45" fillId="0" borderId="45" xfId="4" applyNumberFormat="1" applyFont="1" applyBorder="1"/>
    <xf numFmtId="170" fontId="46" fillId="0" borderId="46" xfId="4" applyNumberFormat="1" applyFont="1" applyBorder="1"/>
    <xf numFmtId="0" fontId="33" fillId="0" borderId="30" xfId="0" applyFont="1" applyFill="1" applyBorder="1" applyAlignment="1" applyProtection="1">
      <alignment horizontal="center" vertical="center" wrapText="1"/>
    </xf>
    <xf numFmtId="0" fontId="33" fillId="0" borderId="34" xfId="0" applyFont="1" applyFill="1" applyBorder="1" applyAlignment="1" applyProtection="1">
      <alignment horizontal="center" vertical="center" wrapText="1"/>
    </xf>
    <xf numFmtId="0" fontId="27" fillId="0" borderId="41" xfId="0" applyFont="1" applyFill="1" applyBorder="1" applyAlignment="1">
      <alignment horizontal="center" vertical="center" wrapText="1"/>
    </xf>
    <xf numFmtId="0" fontId="28" fillId="0" borderId="4" xfId="0" applyFont="1" applyFill="1" applyBorder="1"/>
    <xf numFmtId="2" fontId="27" fillId="0" borderId="4" xfId="0" applyNumberFormat="1" applyFont="1" applyFill="1" applyBorder="1" applyAlignment="1" applyProtection="1">
      <alignment horizontal="center" vertical="center"/>
      <protection locked="0"/>
    </xf>
    <xf numFmtId="168" fontId="35" fillId="0" borderId="4" xfId="0" applyNumberFormat="1" applyFont="1" applyFill="1" applyBorder="1" applyProtection="1">
      <protection locked="0"/>
    </xf>
    <xf numFmtId="1" fontId="35" fillId="0" borderId="4" xfId="0" applyNumberFormat="1" applyFont="1" applyFill="1" applyBorder="1" applyProtection="1">
      <protection locked="0"/>
    </xf>
    <xf numFmtId="171" fontId="44" fillId="0" borderId="71" xfId="4" applyNumberFormat="1" applyFont="1" applyBorder="1" applyAlignment="1">
      <alignment vertical="top"/>
    </xf>
    <xf numFmtId="171" fontId="45" fillId="0" borderId="72" xfId="4" applyNumberFormat="1" applyFont="1" applyBorder="1"/>
    <xf numFmtId="171" fontId="45" fillId="0" borderId="73" xfId="4" applyNumberFormat="1" applyFont="1" applyBorder="1"/>
    <xf numFmtId="2" fontId="38" fillId="3" borderId="71" xfId="4" applyNumberFormat="1" applyFont="1" applyFill="1" applyBorder="1" applyAlignment="1">
      <alignment horizontal="center" vertical="center" wrapText="1"/>
    </xf>
    <xf numFmtId="0" fontId="37" fillId="0" borderId="74" xfId="4" applyFont="1" applyBorder="1"/>
    <xf numFmtId="2" fontId="38" fillId="4" borderId="75" xfId="4" applyNumberFormat="1" applyFont="1" applyFill="1" applyBorder="1" applyAlignment="1">
      <alignment horizontal="center" vertical="center" wrapText="1"/>
    </xf>
    <xf numFmtId="3" fontId="0" fillId="0" borderId="0" xfId="0" applyNumberFormat="1"/>
    <xf numFmtId="3" fontId="17" fillId="0" borderId="14" xfId="0" applyNumberFormat="1" applyFont="1" applyFill="1" applyBorder="1" applyAlignment="1">
      <alignment horizontal="center" vertical="center" wrapText="1"/>
    </xf>
    <xf numFmtId="0" fontId="26" fillId="3" borderId="4" xfId="0" applyFont="1" applyFill="1" applyBorder="1" applyAlignment="1">
      <alignment horizontal="center"/>
    </xf>
    <xf numFmtId="0" fontId="26" fillId="3" borderId="4" xfId="0" applyFont="1" applyFill="1" applyBorder="1" applyAlignment="1">
      <alignment horizontal="center" vertical="center"/>
    </xf>
    <xf numFmtId="2" fontId="27" fillId="0" borderId="9" xfId="0" applyNumberFormat="1" applyFont="1" applyFill="1" applyBorder="1" applyAlignment="1" applyProtection="1">
      <alignment horizontal="center" vertical="center"/>
      <protection locked="0"/>
    </xf>
    <xf numFmtId="0" fontId="27" fillId="0" borderId="4" xfId="0" applyFont="1" applyFill="1" applyBorder="1" applyAlignment="1" applyProtection="1">
      <alignment horizontal="center" vertical="center" wrapText="1"/>
      <protection locked="0"/>
    </xf>
    <xf numFmtId="0" fontId="33" fillId="0" borderId="16" xfId="0" applyFont="1" applyFill="1" applyBorder="1" applyAlignment="1" applyProtection="1">
      <alignment horizontal="center"/>
    </xf>
    <xf numFmtId="0" fontId="33" fillId="0" borderId="31" xfId="0" applyFont="1" applyFill="1" applyBorder="1" applyAlignment="1" applyProtection="1">
      <alignment horizontal="center"/>
    </xf>
    <xf numFmtId="0" fontId="33" fillId="3" borderId="32" xfId="0" applyFont="1" applyFill="1" applyBorder="1" applyAlignment="1" applyProtection="1">
      <alignment horizontal="center"/>
    </xf>
    <xf numFmtId="0" fontId="33" fillId="3" borderId="33" xfId="0" applyFont="1" applyFill="1" applyBorder="1" applyAlignment="1" applyProtection="1">
      <alignment horizontal="center"/>
    </xf>
    <xf numFmtId="0" fontId="34" fillId="3" borderId="33" xfId="0" applyFont="1" applyFill="1" applyBorder="1" applyAlignment="1">
      <alignment horizontal="center" wrapText="1"/>
    </xf>
    <xf numFmtId="0" fontId="33" fillId="3" borderId="34" xfId="0" applyFont="1" applyFill="1" applyBorder="1" applyAlignment="1" applyProtection="1">
      <alignment horizontal="center" vertical="center" wrapText="1"/>
    </xf>
    <xf numFmtId="0" fontId="33" fillId="3" borderId="35" xfId="0" applyFont="1" applyFill="1" applyBorder="1" applyAlignment="1" applyProtection="1">
      <alignment horizontal="center" vertical="center"/>
    </xf>
    <xf numFmtId="0" fontId="33" fillId="3" borderId="4" xfId="0" applyFont="1" applyFill="1" applyBorder="1" applyAlignment="1" applyProtection="1">
      <alignment horizontal="center" vertical="center"/>
    </xf>
    <xf numFmtId="0" fontId="33" fillId="3" borderId="14" xfId="0" applyFont="1" applyFill="1" applyBorder="1" applyAlignment="1" applyProtection="1">
      <alignment horizontal="center" vertical="center"/>
    </xf>
    <xf numFmtId="0" fontId="33" fillId="3" borderId="31" xfId="0" applyFont="1" applyFill="1" applyBorder="1" applyAlignment="1" applyProtection="1">
      <alignment horizontal="center" vertical="center"/>
    </xf>
    <xf numFmtId="0" fontId="33" fillId="3" borderId="32" xfId="0" applyFont="1" applyFill="1" applyBorder="1" applyAlignment="1" applyProtection="1">
      <alignment horizontal="center" vertical="center"/>
    </xf>
    <xf numFmtId="0" fontId="33" fillId="3" borderId="33" xfId="0" applyFont="1" applyFill="1" applyBorder="1" applyAlignment="1" applyProtection="1">
      <alignment horizontal="center" vertical="center"/>
    </xf>
    <xf numFmtId="0" fontId="33" fillId="3" borderId="34" xfId="0" applyFont="1" applyFill="1" applyBorder="1" applyAlignment="1" applyProtection="1">
      <alignment horizontal="center" vertical="center"/>
    </xf>
    <xf numFmtId="0" fontId="33" fillId="3" borderId="0" xfId="0" applyFont="1" applyFill="1" applyBorder="1" applyAlignment="1" applyProtection="1">
      <alignment horizontal="center" vertical="center"/>
    </xf>
    <xf numFmtId="0" fontId="49" fillId="3" borderId="4" xfId="0" applyFont="1" applyFill="1" applyBorder="1" applyAlignment="1">
      <alignment horizontal="center"/>
    </xf>
    <xf numFmtId="0" fontId="33" fillId="3" borderId="36" xfId="0" applyFont="1" applyFill="1" applyBorder="1" applyAlignment="1" applyProtection="1">
      <alignment horizontal="center"/>
    </xf>
    <xf numFmtId="0" fontId="33" fillId="3" borderId="0" xfId="0" applyFont="1" applyFill="1" applyBorder="1" applyAlignment="1" applyProtection="1">
      <alignment horizontal="center"/>
    </xf>
    <xf numFmtId="0" fontId="33" fillId="3" borderId="37" xfId="0" applyFont="1" applyFill="1" applyBorder="1" applyAlignment="1" applyProtection="1">
      <alignment horizontal="center"/>
    </xf>
    <xf numFmtId="0" fontId="33" fillId="3" borderId="0" xfId="0" applyFont="1" applyFill="1" applyAlignment="1" applyProtection="1">
      <alignment horizontal="center"/>
    </xf>
    <xf numFmtId="49" fontId="22" fillId="3" borderId="4" xfId="0" applyNumberFormat="1" applyFont="1" applyFill="1" applyBorder="1" applyAlignment="1" applyProtection="1">
      <alignment horizontal="center"/>
    </xf>
    <xf numFmtId="0" fontId="23" fillId="3" borderId="4" xfId="0" applyFont="1" applyFill="1" applyBorder="1" applyAlignment="1" applyProtection="1">
      <alignment horizontal="center" wrapText="1"/>
    </xf>
    <xf numFmtId="0" fontId="35" fillId="3" borderId="36" xfId="0" applyFont="1" applyFill="1" applyBorder="1" applyProtection="1">
      <protection locked="0"/>
    </xf>
    <xf numFmtId="0" fontId="35" fillId="3" borderId="0" xfId="0" applyFont="1" applyFill="1" applyBorder="1" applyProtection="1">
      <protection locked="0"/>
    </xf>
    <xf numFmtId="0" fontId="35" fillId="3" borderId="37" xfId="0" applyFont="1" applyFill="1" applyBorder="1" applyProtection="1">
      <protection locked="0"/>
    </xf>
    <xf numFmtId="0" fontId="35" fillId="3" borderId="0" xfId="0" applyFont="1" applyFill="1" applyAlignment="1" applyProtection="1">
      <alignment horizontal="center"/>
      <protection locked="0"/>
    </xf>
    <xf numFmtId="0" fontId="35" fillId="3" borderId="36" xfId="0" applyFont="1" applyFill="1" applyBorder="1" applyAlignment="1" applyProtection="1">
      <alignment horizontal="center"/>
      <protection locked="0"/>
    </xf>
    <xf numFmtId="0" fontId="35" fillId="3" borderId="0" xfId="0" applyFont="1" applyFill="1" applyBorder="1" applyAlignment="1" applyProtection="1">
      <alignment horizontal="center"/>
      <protection locked="0"/>
    </xf>
    <xf numFmtId="0" fontId="35" fillId="3" borderId="37" xfId="0" applyFont="1" applyFill="1" applyBorder="1" applyAlignment="1" applyProtection="1">
      <alignment horizontal="center"/>
      <protection locked="0"/>
    </xf>
    <xf numFmtId="0" fontId="28" fillId="0" borderId="4" xfId="0" applyFont="1" applyFill="1" applyBorder="1" applyAlignment="1">
      <alignment horizontal="center"/>
    </xf>
    <xf numFmtId="0" fontId="28" fillId="0" borderId="4" xfId="0" applyFont="1" applyFill="1" applyBorder="1" applyAlignment="1">
      <alignment wrapText="1"/>
    </xf>
    <xf numFmtId="0" fontId="50" fillId="0" borderId="4" xfId="0" applyFont="1" applyFill="1" applyBorder="1" applyAlignment="1" applyProtection="1">
      <alignment horizontal="left" vertical="center"/>
      <protection locked="0"/>
    </xf>
    <xf numFmtId="2" fontId="21" fillId="0" borderId="4" xfId="0" applyNumberFormat="1" applyFont="1" applyFill="1" applyBorder="1" applyAlignment="1" applyProtection="1">
      <alignment horizontal="center" vertical="center"/>
    </xf>
    <xf numFmtId="167" fontId="27" fillId="0" borderId="4" xfId="0" applyNumberFormat="1" applyFont="1" applyFill="1" applyBorder="1" applyAlignment="1" applyProtection="1">
      <alignment horizontal="center" vertical="center"/>
      <protection locked="0"/>
    </xf>
    <xf numFmtId="1" fontId="35" fillId="0" borderId="36" xfId="0" applyNumberFormat="1" applyFont="1" applyFill="1" applyBorder="1" applyProtection="1">
      <protection locked="0"/>
    </xf>
    <xf numFmtId="1" fontId="35" fillId="0" borderId="0" xfId="0" applyNumberFormat="1" applyFont="1" applyFill="1" applyBorder="1" applyProtection="1">
      <protection locked="0"/>
    </xf>
    <xf numFmtId="1" fontId="35" fillId="0" borderId="37" xfId="0" applyNumberFormat="1" applyFont="1" applyFill="1" applyBorder="1" applyProtection="1">
      <protection locked="0"/>
    </xf>
    <xf numFmtId="1" fontId="35" fillId="0" borderId="0" xfId="0" applyNumberFormat="1" applyFont="1" applyFill="1" applyAlignment="1" applyProtection="1">
      <alignment horizontal="center"/>
      <protection locked="0"/>
    </xf>
    <xf numFmtId="1" fontId="35" fillId="0" borderId="36" xfId="0" applyNumberFormat="1" applyFont="1" applyFill="1" applyBorder="1" applyAlignment="1" applyProtection="1">
      <alignment horizontal="center"/>
      <protection locked="0"/>
    </xf>
    <xf numFmtId="1" fontId="35" fillId="0" borderId="0" xfId="0" applyNumberFormat="1" applyFont="1" applyFill="1" applyBorder="1" applyAlignment="1" applyProtection="1">
      <alignment horizontal="center"/>
      <protection locked="0"/>
    </xf>
    <xf numFmtId="1" fontId="35" fillId="0" borderId="37" xfId="0" applyNumberFormat="1" applyFont="1" applyFill="1" applyBorder="1" applyAlignment="1" applyProtection="1">
      <alignment horizontal="center"/>
      <protection locked="0"/>
    </xf>
    <xf numFmtId="1" fontId="27" fillId="3" borderId="0" xfId="0" applyNumberFormat="1" applyFont="1" applyFill="1" applyBorder="1" applyProtection="1">
      <protection locked="0"/>
    </xf>
    <xf numFmtId="1" fontId="27" fillId="0" borderId="0" xfId="0" applyNumberFormat="1" applyFont="1" applyFill="1" applyBorder="1" applyProtection="1">
      <protection locked="0"/>
    </xf>
    <xf numFmtId="0" fontId="35" fillId="3" borderId="0" xfId="0" applyFont="1" applyFill="1" applyProtection="1">
      <protection locked="0"/>
    </xf>
    <xf numFmtId="0" fontId="35" fillId="3" borderId="4" xfId="0" applyFont="1" applyFill="1" applyBorder="1" applyProtection="1">
      <protection locked="0"/>
    </xf>
    <xf numFmtId="166" fontId="35" fillId="3" borderId="4" xfId="2" applyNumberFormat="1" applyFont="1" applyFill="1" applyBorder="1" applyProtection="1">
      <protection locked="0"/>
    </xf>
    <xf numFmtId="164" fontId="27" fillId="0" borderId="0" xfId="2" applyFont="1" applyFill="1" applyBorder="1" applyAlignment="1" applyProtection="1">
      <alignment horizontal="center"/>
      <protection locked="0"/>
    </xf>
    <xf numFmtId="1" fontId="35" fillId="3" borderId="4" xfId="0" applyNumberFormat="1" applyFont="1" applyFill="1" applyBorder="1" applyProtection="1">
      <protection locked="0"/>
    </xf>
    <xf numFmtId="2" fontId="27" fillId="0" borderId="15" xfId="0" applyNumberFormat="1" applyFont="1" applyFill="1" applyBorder="1" applyAlignment="1" applyProtection="1">
      <alignment horizontal="center" vertical="center"/>
      <protection locked="0"/>
    </xf>
    <xf numFmtId="0" fontId="51" fillId="0" borderId="0" xfId="0" applyFont="1"/>
    <xf numFmtId="0" fontId="35" fillId="0" borderId="4"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xf>
    <xf numFmtId="2" fontId="35" fillId="0" borderId="4" xfId="0" applyNumberFormat="1" applyFont="1" applyFill="1" applyBorder="1" applyAlignment="1" applyProtection="1">
      <alignment horizontal="center" vertical="center"/>
      <protection locked="0"/>
    </xf>
    <xf numFmtId="0" fontId="21" fillId="3" borderId="4" xfId="0" applyFont="1" applyFill="1" applyBorder="1" applyAlignment="1" applyProtection="1">
      <alignment horizontal="center"/>
    </xf>
    <xf numFmtId="0" fontId="27" fillId="0" borderId="9" xfId="0" applyFont="1" applyFill="1" applyBorder="1" applyAlignment="1" applyProtection="1">
      <alignment horizontal="center" vertical="center"/>
      <protection locked="0"/>
    </xf>
    <xf numFmtId="0" fontId="27" fillId="0" borderId="9" xfId="0" applyFont="1" applyFill="1" applyBorder="1" applyAlignment="1" applyProtection="1">
      <alignment horizontal="center" vertical="center" wrapText="1"/>
      <protection locked="0"/>
    </xf>
    <xf numFmtId="0" fontId="28" fillId="0" borderId="9" xfId="0" applyFont="1" applyFill="1" applyBorder="1" applyAlignment="1" applyProtection="1">
      <alignment horizontal="center" vertical="center" wrapText="1"/>
      <protection locked="0"/>
    </xf>
    <xf numFmtId="0" fontId="27" fillId="0" borderId="4" xfId="0" applyFont="1" applyFill="1" applyBorder="1" applyAlignment="1">
      <alignment horizontal="center" vertical="center" wrapText="1"/>
    </xf>
    <xf numFmtId="0" fontId="27" fillId="0" borderId="0" xfId="0" applyFont="1" applyFill="1" applyAlignment="1" applyProtection="1">
      <alignment horizontal="center" vertical="center"/>
      <protection locked="0"/>
    </xf>
    <xf numFmtId="0" fontId="33" fillId="0" borderId="0" xfId="0" applyFont="1" applyFill="1" applyAlignment="1" applyProtection="1">
      <alignment horizontal="center" vertical="center"/>
    </xf>
    <xf numFmtId="0" fontId="21" fillId="0" borderId="0" xfId="0" applyFont="1" applyFill="1" applyAlignment="1" applyProtection="1">
      <alignment horizontal="center" vertical="center"/>
    </xf>
    <xf numFmtId="0" fontId="34" fillId="0" borderId="33" xfId="0" applyFont="1" applyFill="1" applyBorder="1" applyAlignment="1">
      <alignment horizontal="center" vertical="center" wrapText="1"/>
    </xf>
    <xf numFmtId="0" fontId="33" fillId="0" borderId="36" xfId="0"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33" fillId="0" borderId="37" xfId="0" applyFont="1" applyFill="1" applyBorder="1" applyAlignment="1" applyProtection="1">
      <alignment horizontal="center" vertical="center"/>
    </xf>
    <xf numFmtId="49" fontId="22" fillId="3" borderId="45" xfId="0" applyNumberFormat="1" applyFont="1" applyFill="1" applyBorder="1" applyAlignment="1" applyProtection="1">
      <alignment horizontal="center" vertical="center"/>
    </xf>
    <xf numFmtId="0" fontId="23" fillId="3" borderId="45" xfId="0" applyFont="1" applyFill="1" applyBorder="1" applyAlignment="1" applyProtection="1">
      <alignment horizontal="center" vertical="center" wrapText="1"/>
    </xf>
    <xf numFmtId="0" fontId="21" fillId="3" borderId="45" xfId="0" applyFont="1" applyFill="1" applyBorder="1" applyAlignment="1" applyProtection="1">
      <alignment horizontal="center" vertical="center" wrapText="1"/>
    </xf>
    <xf numFmtId="0" fontId="35" fillId="0" borderId="36" xfId="0"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locked="0"/>
    </xf>
    <xf numFmtId="0" fontId="35" fillId="0" borderId="37" xfId="0" applyFont="1" applyFill="1" applyBorder="1" applyAlignment="1" applyProtection="1">
      <alignment horizontal="center" vertical="center"/>
      <protection locked="0"/>
    </xf>
    <xf numFmtId="0" fontId="28" fillId="0" borderId="9" xfId="0" applyFont="1" applyFill="1" applyBorder="1" applyAlignment="1">
      <alignment horizontal="center" vertical="center"/>
    </xf>
    <xf numFmtId="0" fontId="27" fillId="0" borderId="42" xfId="0" applyFont="1" applyFill="1" applyBorder="1" applyAlignment="1">
      <alignment horizontal="center" vertical="center"/>
    </xf>
    <xf numFmtId="0" fontId="27" fillId="0" borderId="43" xfId="0" applyFont="1" applyFill="1" applyBorder="1" applyAlignment="1" applyProtection="1">
      <alignment horizontal="center" vertical="center" wrapText="1"/>
      <protection locked="0"/>
    </xf>
    <xf numFmtId="49" fontId="29" fillId="0" borderId="0"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wrapText="1"/>
      <protection locked="0"/>
    </xf>
    <xf numFmtId="2" fontId="21" fillId="0" borderId="0" xfId="0" applyNumberFormat="1" applyFont="1" applyFill="1" applyBorder="1" applyAlignment="1" applyProtection="1">
      <alignment horizontal="center" vertical="center"/>
      <protection locked="0"/>
    </xf>
    <xf numFmtId="10" fontId="35" fillId="0" borderId="0" xfId="1" applyNumberFormat="1" applyFont="1" applyFill="1" applyAlignment="1" applyProtection="1">
      <alignment horizontal="center" vertical="center"/>
      <protection locked="0"/>
    </xf>
    <xf numFmtId="168" fontId="35" fillId="0" borderId="4" xfId="0" applyNumberFormat="1" applyFont="1" applyFill="1" applyBorder="1" applyAlignment="1" applyProtection="1">
      <alignment horizontal="center" vertical="center"/>
      <protection locked="0"/>
    </xf>
    <xf numFmtId="166" fontId="35" fillId="0" borderId="4" xfId="2" applyNumberFormat="1" applyFont="1" applyFill="1" applyBorder="1" applyAlignment="1" applyProtection="1">
      <alignment horizontal="center" vertical="center"/>
      <protection locked="0"/>
    </xf>
    <xf numFmtId="9" fontId="35" fillId="0" borderId="0" xfId="1" applyFont="1" applyFill="1" applyAlignment="1" applyProtection="1">
      <alignment horizontal="center" vertical="center"/>
      <protection locked="0"/>
    </xf>
    <xf numFmtId="0" fontId="34" fillId="0" borderId="4" xfId="0" applyFont="1" applyFill="1" applyBorder="1" applyAlignment="1">
      <alignment horizontal="center" vertical="center" wrapText="1"/>
    </xf>
    <xf numFmtId="10" fontId="35" fillId="0" borderId="0" xfId="0" applyNumberFormat="1" applyFont="1" applyFill="1" applyAlignment="1" applyProtection="1">
      <alignment horizontal="center" vertical="center"/>
      <protection locked="0"/>
    </xf>
    <xf numFmtId="1" fontId="35" fillId="0" borderId="4" xfId="0" applyNumberFormat="1" applyFont="1" applyFill="1" applyBorder="1" applyAlignment="1" applyProtection="1">
      <alignment horizontal="center" vertical="center"/>
      <protection locked="0"/>
    </xf>
    <xf numFmtId="0" fontId="21" fillId="0" borderId="4" xfId="0" applyFont="1" applyFill="1" applyBorder="1" applyAlignment="1" applyProtection="1">
      <alignment horizontal="center" vertical="center"/>
      <protection locked="0"/>
    </xf>
    <xf numFmtId="10" fontId="27" fillId="0" borderId="4" xfId="1" applyNumberFormat="1" applyFont="1" applyFill="1" applyBorder="1" applyAlignment="1" applyProtection="1">
      <alignment horizontal="center" vertical="center"/>
      <protection locked="0"/>
    </xf>
    <xf numFmtId="2" fontId="27" fillId="0" borderId="0" xfId="0" applyNumberFormat="1" applyFont="1" applyFill="1" applyBorder="1" applyAlignment="1" applyProtection="1">
      <alignment horizontal="center" vertical="center"/>
      <protection locked="0"/>
    </xf>
    <xf numFmtId="167" fontId="27" fillId="0" borderId="0" xfId="0" applyNumberFormat="1" applyFont="1" applyFill="1" applyBorder="1" applyAlignment="1" applyProtection="1">
      <alignment horizontal="center" vertical="center"/>
      <protection locked="0"/>
    </xf>
    <xf numFmtId="49" fontId="29" fillId="0" borderId="9" xfId="0" applyNumberFormat="1" applyFont="1" applyFill="1" applyBorder="1" applyAlignment="1" applyProtection="1">
      <alignment horizontal="center" vertical="center"/>
      <protection locked="0"/>
    </xf>
    <xf numFmtId="0" fontId="27" fillId="0" borderId="0" xfId="0" applyFont="1" applyFill="1" applyAlignment="1" applyProtection="1">
      <alignment horizontal="center" vertical="center" wrapText="1"/>
      <protection locked="0"/>
    </xf>
    <xf numFmtId="49" fontId="29" fillId="0" borderId="4" xfId="0" applyNumberFormat="1" applyFont="1" applyFill="1" applyBorder="1" applyAlignment="1" applyProtection="1">
      <alignment horizontal="center" vertical="center"/>
      <protection locked="0"/>
    </xf>
    <xf numFmtId="167" fontId="51" fillId="0" borderId="0" xfId="0" applyNumberFormat="1" applyFont="1" applyFill="1" applyBorder="1" applyProtection="1">
      <protection locked="0"/>
    </xf>
    <xf numFmtId="0" fontId="51" fillId="0" borderId="0" xfId="0" applyFont="1" applyFill="1" applyProtection="1">
      <protection locked="0"/>
    </xf>
    <xf numFmtId="0" fontId="5" fillId="0" borderId="31" xfId="0" applyFont="1" applyFill="1" applyBorder="1" applyAlignment="1" applyProtection="1">
      <protection locked="0"/>
    </xf>
    <xf numFmtId="167" fontId="0" fillId="0" borderId="4" xfId="0" applyNumberFormat="1" applyFill="1" applyBorder="1" applyAlignment="1" applyProtection="1">
      <alignment horizontal="center"/>
      <protection locked="0"/>
    </xf>
    <xf numFmtId="0" fontId="0" fillId="0" borderId="0" xfId="0" applyFill="1" applyAlignment="1" applyProtection="1">
      <alignment horizontal="center"/>
      <protection locked="0"/>
    </xf>
    <xf numFmtId="2" fontId="0" fillId="0" borderId="4" xfId="0" applyNumberFormat="1" applyFill="1" applyBorder="1" applyAlignment="1" applyProtection="1">
      <alignment horizontal="center"/>
      <protection locked="0"/>
    </xf>
    <xf numFmtId="164" fontId="0" fillId="0" borderId="4" xfId="2" applyNumberFormat="1" applyFont="1" applyFill="1" applyBorder="1" applyAlignment="1" applyProtection="1">
      <alignment horizontal="center"/>
      <protection locked="0"/>
    </xf>
    <xf numFmtId="0" fontId="0" fillId="0" borderId="4" xfId="0" applyFill="1" applyBorder="1" applyAlignment="1" applyProtection="1">
      <alignment horizontal="left"/>
      <protection locked="0"/>
    </xf>
    <xf numFmtId="0" fontId="8" fillId="0" borderId="4" xfId="0" applyFont="1" applyFill="1" applyBorder="1" applyAlignment="1" applyProtection="1">
      <alignment horizontal="left" vertical="center"/>
    </xf>
    <xf numFmtId="0" fontId="8" fillId="0" borderId="4" xfId="0" applyFont="1" applyFill="1" applyBorder="1" applyAlignment="1" applyProtection="1">
      <alignment horizontal="left"/>
    </xf>
    <xf numFmtId="0" fontId="8" fillId="0" borderId="4" xfId="0" applyFont="1" applyFill="1" applyBorder="1" applyAlignment="1" applyProtection="1">
      <alignment horizontal="left" wrapText="1"/>
    </xf>
    <xf numFmtId="0" fontId="21" fillId="0" borderId="43" xfId="0" applyFont="1" applyFill="1" applyBorder="1" applyAlignment="1" applyProtection="1">
      <alignment horizontal="center"/>
    </xf>
    <xf numFmtId="0" fontId="27" fillId="0" borderId="46" xfId="0" applyFont="1" applyFill="1" applyBorder="1" applyAlignment="1" applyProtection="1">
      <alignment horizontal="center"/>
      <protection locked="0"/>
    </xf>
    <xf numFmtId="2" fontId="53" fillId="0" borderId="0" xfId="0" applyNumberFormat="1" applyFont="1" applyFill="1" applyAlignment="1" applyProtection="1">
      <alignment horizontal="center"/>
      <protection locked="0"/>
    </xf>
    <xf numFmtId="0" fontId="37" fillId="0" borderId="0" xfId="4" applyFont="1" applyFill="1"/>
    <xf numFmtId="2" fontId="38" fillId="0" borderId="0" xfId="4" applyNumberFormat="1" applyFont="1" applyFill="1" applyBorder="1" applyAlignment="1">
      <alignment horizontal="center" vertical="center" wrapText="1"/>
    </xf>
    <xf numFmtId="171" fontId="44" fillId="0" borderId="0" xfId="4" applyNumberFormat="1" applyFont="1" applyFill="1" applyBorder="1" applyAlignment="1">
      <alignment vertical="top"/>
    </xf>
    <xf numFmtId="0" fontId="37" fillId="0" borderId="0" xfId="4" applyFont="1" applyFill="1" applyBorder="1"/>
    <xf numFmtId="171" fontId="45" fillId="0" borderId="0" xfId="4" applyNumberFormat="1" applyFont="1" applyFill="1" applyBorder="1"/>
    <xf numFmtId="0" fontId="38" fillId="0" borderId="0" xfId="4" applyFont="1" applyFill="1" applyAlignment="1">
      <alignment horizontal="center" vertical="center"/>
    </xf>
    <xf numFmtId="164" fontId="55" fillId="0" borderId="0" xfId="4" applyNumberFormat="1" applyFont="1"/>
    <xf numFmtId="0" fontId="56" fillId="0" borderId="0" xfId="0" applyFont="1"/>
    <xf numFmtId="3" fontId="56" fillId="0" borderId="0" xfId="0" applyNumberFormat="1" applyFont="1"/>
    <xf numFmtId="10" fontId="56" fillId="0" borderId="0" xfId="1" applyNumberFormat="1" applyFont="1"/>
    <xf numFmtId="9" fontId="56" fillId="0" borderId="0" xfId="1" applyFont="1"/>
    <xf numFmtId="164" fontId="0" fillId="0" borderId="0" xfId="2" applyFont="1" applyBorder="1"/>
    <xf numFmtId="164" fontId="57" fillId="0" borderId="0" xfId="2" applyFont="1" applyBorder="1" applyAlignment="1">
      <alignment vertical="center" wrapText="1"/>
    </xf>
    <xf numFmtId="0" fontId="15" fillId="0" borderId="4" xfId="0" applyFont="1" applyBorder="1" applyAlignment="1">
      <alignment horizontal="left" vertical="center" wrapText="1"/>
    </xf>
    <xf numFmtId="0" fontId="27" fillId="5" borderId="4" xfId="0" applyFont="1" applyFill="1" applyBorder="1" applyAlignment="1" applyProtection="1">
      <alignment horizontal="center" vertical="center"/>
      <protection locked="0"/>
    </xf>
    <xf numFmtId="166" fontId="0" fillId="0" borderId="4" xfId="2" applyNumberFormat="1" applyFont="1" applyFill="1" applyBorder="1" applyAlignment="1" applyProtection="1">
      <alignment horizontal="center" vertical="center"/>
      <protection locked="0"/>
    </xf>
    <xf numFmtId="0" fontId="52" fillId="0" borderId="0" xfId="0" applyFont="1"/>
    <xf numFmtId="166" fontId="0" fillId="0" borderId="4" xfId="2" applyNumberFormat="1" applyFont="1" applyFill="1" applyBorder="1" applyAlignment="1" applyProtection="1">
      <alignment horizontal="center"/>
      <protection locked="0"/>
    </xf>
    <xf numFmtId="0" fontId="35" fillId="0" borderId="4"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xf>
    <xf numFmtId="2" fontId="35" fillId="0" borderId="4" xfId="0" applyNumberFormat="1" applyFont="1" applyFill="1" applyBorder="1" applyAlignment="1" applyProtection="1">
      <alignment horizontal="center" vertical="center"/>
      <protection locked="0"/>
    </xf>
    <xf numFmtId="0" fontId="45" fillId="0" borderId="0" xfId="0" applyFont="1" applyFill="1"/>
    <xf numFmtId="0" fontId="58" fillId="0" borderId="32" xfId="0" applyFont="1" applyFill="1" applyBorder="1" applyAlignment="1">
      <alignment horizontal="center" vertical="center" wrapText="1"/>
    </xf>
    <xf numFmtId="0" fontId="58" fillId="0" borderId="34"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59" fillId="0" borderId="42" xfId="0" applyFont="1" applyFill="1" applyBorder="1" applyAlignment="1">
      <alignment horizontal="right"/>
    </xf>
    <xf numFmtId="0" fontId="59" fillId="0" borderId="4" xfId="0" applyFont="1" applyFill="1" applyBorder="1"/>
    <xf numFmtId="0" fontId="45" fillId="0" borderId="37" xfId="0" applyFont="1" applyFill="1" applyBorder="1"/>
    <xf numFmtId="0" fontId="45" fillId="0" borderId="42" xfId="0" applyFont="1" applyFill="1" applyBorder="1" applyProtection="1">
      <protection locked="0"/>
    </xf>
    <xf numFmtId="0" fontId="45" fillId="0" borderId="14" xfId="0" applyFont="1" applyFill="1" applyBorder="1" applyAlignment="1">
      <alignment horizontal="center"/>
    </xf>
    <xf numFmtId="0" fontId="45" fillId="0" borderId="4" xfId="0" applyFont="1" applyFill="1" applyBorder="1" applyAlignment="1">
      <alignment horizontal="center"/>
    </xf>
    <xf numFmtId="0" fontId="45" fillId="0" borderId="0" xfId="0" applyFont="1" applyFill="1" applyProtection="1">
      <protection locked="0"/>
    </xf>
    <xf numFmtId="0" fontId="59" fillId="0" borderId="42" xfId="0" applyFont="1" applyFill="1" applyBorder="1" applyAlignment="1">
      <alignment horizontal="center" wrapText="1"/>
    </xf>
    <xf numFmtId="9" fontId="59" fillId="0" borderId="4" xfId="0" applyNumberFormat="1" applyFont="1" applyFill="1" applyBorder="1" applyAlignment="1">
      <alignment horizontal="center" wrapText="1"/>
    </xf>
    <xf numFmtId="0" fontId="59" fillId="0" borderId="4" xfId="0" applyFont="1" applyFill="1" applyBorder="1" applyAlignment="1">
      <alignment horizontal="center" wrapText="1"/>
    </xf>
    <xf numFmtId="1" fontId="59" fillId="0" borderId="43" xfId="0" applyNumberFormat="1" applyFont="1" applyFill="1" applyBorder="1" applyAlignment="1">
      <alignment horizontal="center" wrapText="1"/>
    </xf>
    <xf numFmtId="0" fontId="45" fillId="0" borderId="43" xfId="0" applyFont="1" applyFill="1" applyBorder="1"/>
    <xf numFmtId="166" fontId="59" fillId="0" borderId="43" xfId="0" applyNumberFormat="1" applyFont="1" applyFill="1" applyBorder="1"/>
    <xf numFmtId="0" fontId="45" fillId="0" borderId="4" xfId="0" applyFont="1" applyFill="1" applyBorder="1"/>
    <xf numFmtId="0" fontId="46" fillId="0" borderId="0" xfId="0" applyFont="1" applyFill="1"/>
    <xf numFmtId="0" fontId="58" fillId="0" borderId="53" xfId="0" applyFont="1" applyFill="1" applyBorder="1" applyAlignment="1">
      <alignment horizontal="center" vertical="center" wrapText="1"/>
    </xf>
    <xf numFmtId="0" fontId="59" fillId="0" borderId="44" xfId="0" applyFont="1" applyFill="1" applyBorder="1" applyAlignment="1">
      <alignment horizontal="center" wrapText="1"/>
    </xf>
    <xf numFmtId="9" fontId="59" fillId="0" borderId="45" xfId="0" applyNumberFormat="1" applyFont="1" applyFill="1" applyBorder="1" applyAlignment="1">
      <alignment horizontal="center" wrapText="1"/>
    </xf>
    <xf numFmtId="0" fontId="59" fillId="0" borderId="45" xfId="0" applyFont="1" applyFill="1" applyBorder="1" applyAlignment="1">
      <alignment horizontal="center" wrapText="1"/>
    </xf>
    <xf numFmtId="0" fontId="59" fillId="0" borderId="46" xfId="0" applyFont="1" applyFill="1" applyBorder="1" applyAlignment="1">
      <alignment horizontal="center" wrapText="1"/>
    </xf>
    <xf numFmtId="9" fontId="45" fillId="0" borderId="35" xfId="0" applyNumberFormat="1" applyFont="1" applyFill="1" applyBorder="1"/>
    <xf numFmtId="0" fontId="45" fillId="0" borderId="44" xfId="0" applyFont="1" applyFill="1" applyBorder="1" applyProtection="1">
      <protection locked="0"/>
    </xf>
    <xf numFmtId="0" fontId="45" fillId="0" borderId="66" xfId="0" applyFont="1" applyFill="1" applyBorder="1" applyAlignment="1">
      <alignment horizontal="center"/>
    </xf>
    <xf numFmtId="0" fontId="58" fillId="0" borderId="0" xfId="0" applyFont="1" applyFill="1" applyBorder="1" applyAlignment="1">
      <alignment horizontal="center" vertical="center" wrapText="1"/>
    </xf>
    <xf numFmtId="0" fontId="58" fillId="0" borderId="60" xfId="0" applyFont="1" applyFill="1" applyBorder="1" applyAlignment="1">
      <alignment vertical="center" wrapText="1"/>
    </xf>
    <xf numFmtId="0" fontId="46" fillId="0" borderId="34" xfId="0" applyFont="1" applyFill="1" applyBorder="1" applyAlignment="1">
      <alignment horizontal="center" vertical="center"/>
    </xf>
    <xf numFmtId="0" fontId="59" fillId="0" borderId="42" xfId="0" applyFont="1" applyFill="1" applyBorder="1"/>
    <xf numFmtId="0" fontId="59" fillId="0" borderId="4" xfId="0" applyFont="1" applyFill="1" applyBorder="1" applyAlignment="1">
      <alignment horizontal="right"/>
    </xf>
    <xf numFmtId="1" fontId="45" fillId="0" borderId="43" xfId="0" applyNumberFormat="1" applyFont="1" applyFill="1" applyBorder="1"/>
    <xf numFmtId="9" fontId="45" fillId="0" borderId="14" xfId="0" applyNumberFormat="1" applyFont="1" applyFill="1" applyBorder="1"/>
    <xf numFmtId="9" fontId="45" fillId="0" borderId="43" xfId="0" applyNumberFormat="1" applyFont="1" applyFill="1" applyBorder="1"/>
    <xf numFmtId="0" fontId="46" fillId="0" borderId="0" xfId="0" applyFont="1" applyFill="1" applyBorder="1" applyAlignment="1">
      <alignment horizontal="right"/>
    </xf>
    <xf numFmtId="0" fontId="45" fillId="0" borderId="0" xfId="0" applyFont="1" applyFill="1" applyBorder="1" applyAlignment="1">
      <alignment horizontal="right"/>
    </xf>
    <xf numFmtId="9" fontId="45" fillId="0" borderId="66" xfId="0" applyNumberFormat="1" applyFont="1" applyFill="1" applyBorder="1"/>
    <xf numFmtId="9" fontId="45" fillId="0" borderId="46" xfId="0" applyNumberFormat="1" applyFont="1" applyFill="1" applyBorder="1"/>
    <xf numFmtId="0" fontId="59" fillId="0" borderId="44" xfId="0" applyFont="1" applyFill="1" applyBorder="1"/>
    <xf numFmtId="0" fontId="59" fillId="0" borderId="45" xfId="0" applyFont="1" applyFill="1" applyBorder="1" applyAlignment="1">
      <alignment horizontal="right"/>
    </xf>
    <xf numFmtId="2" fontId="45" fillId="0" borderId="46" xfId="0" applyNumberFormat="1" applyFont="1" applyFill="1" applyBorder="1"/>
    <xf numFmtId="0" fontId="45" fillId="0" borderId="0" xfId="0" applyFont="1" applyFill="1" applyBorder="1" applyAlignment="1" applyProtection="1">
      <alignment horizontal="center" vertical="center"/>
      <protection locked="0"/>
    </xf>
    <xf numFmtId="0" fontId="45" fillId="0" borderId="0" xfId="0" applyFont="1" applyFill="1" applyBorder="1"/>
    <xf numFmtId="0" fontId="45" fillId="0" borderId="52" xfId="0" applyFont="1" applyFill="1" applyBorder="1"/>
    <xf numFmtId="0" fontId="45" fillId="0" borderId="9" xfId="0" applyFont="1" applyFill="1" applyBorder="1"/>
    <xf numFmtId="0" fontId="60" fillId="0" borderId="9" xfId="0" applyFont="1" applyFill="1" applyBorder="1" applyAlignment="1">
      <alignment vertical="center" wrapText="1"/>
    </xf>
    <xf numFmtId="0" fontId="58" fillId="0" borderId="9" xfId="0" applyFont="1" applyFill="1" applyBorder="1" applyAlignment="1">
      <alignment horizontal="center" vertical="center" wrapText="1"/>
    </xf>
    <xf numFmtId="0" fontId="58" fillId="0" borderId="67"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45" fillId="0" borderId="42" xfId="0" applyFont="1" applyFill="1" applyBorder="1"/>
    <xf numFmtId="0" fontId="60" fillId="0" borderId="4" xfId="0" applyFont="1" applyFill="1" applyBorder="1" applyAlignment="1">
      <alignment horizontal="center" vertical="center" wrapText="1"/>
    </xf>
    <xf numFmtId="0" fontId="60" fillId="0" borderId="43" xfId="0" applyFont="1" applyFill="1" applyBorder="1" applyAlignment="1">
      <alignment horizontal="center" vertical="center" wrapText="1"/>
    </xf>
    <xf numFmtId="0" fontId="46" fillId="0" borderId="0" xfId="0" applyFont="1" applyFill="1" applyBorder="1"/>
    <xf numFmtId="0" fontId="46" fillId="0" borderId="0" xfId="0" applyFont="1" applyFill="1" applyBorder="1" applyProtection="1">
      <protection locked="0"/>
    </xf>
    <xf numFmtId="0" fontId="45" fillId="0" borderId="44" xfId="0" applyFont="1" applyFill="1" applyBorder="1"/>
    <xf numFmtId="0" fontId="45" fillId="0" borderId="45" xfId="0" applyFont="1" applyFill="1" applyBorder="1"/>
    <xf numFmtId="0" fontId="60" fillId="0" borderId="45" xfId="0" applyFont="1" applyFill="1" applyBorder="1" applyAlignment="1">
      <alignment horizontal="center" vertical="center" wrapText="1"/>
    </xf>
    <xf numFmtId="0" fontId="45" fillId="0" borderId="46" xfId="0" applyFont="1" applyFill="1" applyBorder="1"/>
    <xf numFmtId="0" fontId="45" fillId="0" borderId="0" xfId="0" applyFont="1" applyFill="1" applyBorder="1" applyProtection="1">
      <protection locked="0"/>
    </xf>
    <xf numFmtId="0" fontId="45" fillId="0" borderId="35" xfId="0" applyFont="1" applyFill="1" applyBorder="1" applyAlignment="1">
      <alignment horizontal="center"/>
    </xf>
    <xf numFmtId="0" fontId="46" fillId="0" borderId="0" xfId="0" applyFont="1" applyFill="1" applyAlignment="1">
      <alignment vertical="top"/>
    </xf>
    <xf numFmtId="0" fontId="45" fillId="0" borderId="4" xfId="0" applyFont="1" applyBorder="1" applyAlignment="1">
      <alignment horizontal="center"/>
    </xf>
    <xf numFmtId="0" fontId="45" fillId="0" borderId="4" xfId="0" applyFont="1" applyBorder="1"/>
    <xf numFmtId="0" fontId="45" fillId="0" borderId="15" xfId="0" applyFont="1" applyBorder="1"/>
    <xf numFmtId="0" fontId="45" fillId="0" borderId="15" xfId="0" applyFont="1" applyBorder="1" applyAlignment="1">
      <alignment wrapText="1"/>
    </xf>
    <xf numFmtId="2" fontId="27" fillId="0" borderId="0" xfId="0" applyNumberFormat="1" applyFont="1" applyFill="1" applyAlignment="1" applyProtection="1">
      <alignment horizontal="center"/>
      <protection locked="0"/>
    </xf>
    <xf numFmtId="0" fontId="61" fillId="8" borderId="4" xfId="0" applyFont="1" applyFill="1" applyBorder="1" applyAlignment="1">
      <alignment horizontal="center" vertical="center" wrapText="1"/>
    </xf>
    <xf numFmtId="0" fontId="45" fillId="0" borderId="84" xfId="0" applyFont="1" applyBorder="1" applyAlignment="1">
      <alignment horizontal="center" vertical="center" wrapText="1"/>
    </xf>
    <xf numFmtId="0" fontId="45" fillId="0" borderId="85" xfId="0" applyFont="1" applyBorder="1" applyAlignment="1">
      <alignment vertical="center" wrapText="1"/>
    </xf>
    <xf numFmtId="0" fontId="32" fillId="0" borderId="0" xfId="0" applyFont="1" applyFill="1"/>
    <xf numFmtId="0" fontId="63" fillId="0" borderId="84" xfId="0" applyFont="1" applyBorder="1" applyAlignment="1">
      <alignment horizontal="center" vertical="center" wrapText="1"/>
    </xf>
    <xf numFmtId="0" fontId="61" fillId="5" borderId="4" xfId="0" applyFont="1" applyFill="1" applyBorder="1" applyAlignment="1">
      <alignment horizontal="center" vertical="center" wrapText="1"/>
    </xf>
    <xf numFmtId="0" fontId="63" fillId="0" borderId="84" xfId="0" applyFont="1" applyBorder="1" applyAlignment="1">
      <alignment vertical="center" wrapText="1"/>
    </xf>
    <xf numFmtId="0" fontId="63" fillId="0" borderId="85" xfId="0" applyFont="1" applyBorder="1" applyAlignment="1">
      <alignment vertical="center" wrapText="1"/>
    </xf>
    <xf numFmtId="2" fontId="27" fillId="5" borderId="9" xfId="0" applyNumberFormat="1" applyFont="1" applyFill="1" applyBorder="1" applyAlignment="1" applyProtection="1">
      <alignment horizontal="center" vertical="center"/>
      <protection locked="0"/>
    </xf>
    <xf numFmtId="2" fontId="27" fillId="9" borderId="9" xfId="0" applyNumberFormat="1" applyFont="1" applyFill="1" applyBorder="1" applyAlignment="1" applyProtection="1">
      <alignment horizontal="center" vertical="center"/>
      <protection locked="0"/>
    </xf>
    <xf numFmtId="0" fontId="27" fillId="4" borderId="4" xfId="0" applyFont="1" applyFill="1" applyBorder="1" applyAlignment="1" applyProtection="1">
      <alignment horizontal="center" vertical="center"/>
      <protection locked="0"/>
    </xf>
    <xf numFmtId="0" fontId="27" fillId="4" borderId="4" xfId="0" applyFont="1" applyFill="1" applyBorder="1" applyAlignment="1" applyProtection="1">
      <alignment horizontal="center" vertical="center" wrapText="1"/>
      <protection locked="0"/>
    </xf>
    <xf numFmtId="2" fontId="21" fillId="4" borderId="4" xfId="0" applyNumberFormat="1" applyFont="1" applyFill="1" applyBorder="1" applyAlignment="1" applyProtection="1">
      <alignment horizontal="center" vertical="center"/>
    </xf>
    <xf numFmtId="0" fontId="65" fillId="0" borderId="0" xfId="0" applyFont="1"/>
    <xf numFmtId="2" fontId="65" fillId="0" borderId="0" xfId="0" applyNumberFormat="1" applyFont="1"/>
    <xf numFmtId="164" fontId="65" fillId="0" borderId="0" xfId="2" applyFont="1"/>
    <xf numFmtId="3" fontId="40" fillId="0" borderId="0" xfId="0" applyNumberFormat="1" applyFont="1"/>
    <xf numFmtId="0" fontId="40" fillId="0" borderId="0" xfId="0" applyFont="1"/>
    <xf numFmtId="3" fontId="27" fillId="0" borderId="0" xfId="0" applyNumberFormat="1" applyFont="1" applyFill="1" applyBorder="1" applyAlignment="1" applyProtection="1">
      <alignment horizontal="center" vertical="center"/>
      <protection locked="0"/>
    </xf>
    <xf numFmtId="164" fontId="15" fillId="0" borderId="4" xfId="2" applyFont="1" applyBorder="1" applyAlignment="1">
      <alignment horizontal="center" vertical="center" wrapText="1"/>
    </xf>
    <xf numFmtId="2" fontId="15" fillId="0" borderId="4" xfId="2" applyNumberFormat="1" applyFont="1" applyBorder="1" applyAlignment="1">
      <alignment horizontal="center" vertical="center" wrapText="1"/>
    </xf>
    <xf numFmtId="0" fontId="21" fillId="3" borderId="56"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49" xfId="0" applyFont="1" applyFill="1" applyBorder="1" applyAlignment="1" applyProtection="1">
      <alignment horizontal="center" vertical="center"/>
    </xf>
    <xf numFmtId="0" fontId="28" fillId="0" borderId="4" xfId="0" applyFont="1" applyFill="1" applyBorder="1" applyAlignment="1" applyProtection="1">
      <alignment horizontal="center" vertical="center" wrapText="1"/>
      <protection locked="0"/>
    </xf>
    <xf numFmtId="0" fontId="27" fillId="0" borderId="15" xfId="0" applyFont="1" applyFill="1" applyBorder="1" applyAlignment="1">
      <alignment horizontal="center" vertical="center" wrapText="1"/>
    </xf>
    <xf numFmtId="0" fontId="27" fillId="0" borderId="61" xfId="0" applyFont="1" applyFill="1" applyBorder="1" applyAlignment="1">
      <alignment horizontal="center" vertical="center"/>
    </xf>
    <xf numFmtId="0" fontId="28" fillId="0" borderId="4" xfId="0" applyFont="1" applyFill="1" applyBorder="1" applyAlignment="1">
      <alignment horizontal="center" vertical="center"/>
    </xf>
    <xf numFmtId="0" fontId="21" fillId="3" borderId="45" xfId="0" applyFont="1" applyFill="1" applyBorder="1" applyAlignment="1" applyProtection="1">
      <alignment horizontal="center" vertical="center"/>
    </xf>
    <xf numFmtId="0" fontId="33" fillId="0" borderId="4" xfId="0" applyFont="1" applyFill="1" applyBorder="1" applyAlignment="1" applyProtection="1">
      <alignment horizontal="center" vertical="center"/>
    </xf>
    <xf numFmtId="0" fontId="21" fillId="0" borderId="4" xfId="0" applyFont="1" applyFill="1" applyBorder="1" applyAlignment="1" applyProtection="1">
      <alignment horizontal="center" vertical="center" wrapText="1"/>
    </xf>
    <xf numFmtId="0" fontId="26" fillId="3" borderId="43" xfId="0" applyFont="1" applyFill="1" applyBorder="1" applyAlignment="1">
      <alignment horizontal="center" vertical="center"/>
    </xf>
    <xf numFmtId="0" fontId="21" fillId="3" borderId="44" xfId="0" applyFont="1" applyFill="1" applyBorder="1" applyAlignment="1" applyProtection="1">
      <alignment horizontal="center" vertical="center"/>
    </xf>
    <xf numFmtId="0" fontId="21" fillId="3" borderId="46" xfId="0" applyFont="1" applyFill="1" applyBorder="1" applyAlignment="1" applyProtection="1">
      <alignment horizontal="center" vertical="center"/>
    </xf>
    <xf numFmtId="0" fontId="21" fillId="3" borderId="63" xfId="0" applyFont="1" applyFill="1" applyBorder="1" applyAlignment="1" applyProtection="1">
      <alignment horizontal="center" vertical="center"/>
    </xf>
    <xf numFmtId="2" fontId="21" fillId="0" borderId="9" xfId="0" applyNumberFormat="1" applyFont="1" applyFill="1" applyBorder="1" applyAlignment="1" applyProtection="1">
      <alignment horizontal="center" vertical="center"/>
    </xf>
    <xf numFmtId="2" fontId="27" fillId="0" borderId="3" xfId="0" applyNumberFormat="1" applyFont="1" applyFill="1" applyBorder="1" applyAlignment="1" applyProtection="1">
      <alignment horizontal="center" vertical="center"/>
      <protection locked="0"/>
    </xf>
    <xf numFmtId="2" fontId="0" fillId="0" borderId="0" xfId="0" applyNumberFormat="1"/>
    <xf numFmtId="0" fontId="28" fillId="4" borderId="4" xfId="0" applyFont="1" applyFill="1" applyBorder="1" applyAlignment="1">
      <alignment horizontal="center" vertical="center"/>
    </xf>
    <xf numFmtId="10" fontId="35" fillId="0" borderId="0" xfId="0" applyNumberFormat="1" applyFont="1" applyFill="1" applyBorder="1" applyAlignment="1" applyProtection="1">
      <alignment horizontal="center" vertical="center"/>
      <protection locked="0"/>
    </xf>
    <xf numFmtId="10" fontId="35" fillId="0" borderId="0" xfId="1" applyNumberFormat="1" applyFont="1" applyFill="1" applyBorder="1" applyAlignment="1" applyProtection="1">
      <alignment horizontal="center" vertical="center"/>
      <protection locked="0"/>
    </xf>
    <xf numFmtId="168" fontId="0" fillId="0" borderId="4" xfId="2" applyNumberFormat="1" applyFont="1" applyFill="1" applyBorder="1" applyAlignment="1" applyProtection="1">
      <alignment vertical="center"/>
      <protection locked="0"/>
    </xf>
    <xf numFmtId="0" fontId="36" fillId="0" borderId="4" xfId="0" applyFont="1" applyFill="1" applyBorder="1" applyAlignment="1" applyProtection="1">
      <alignment horizontal="left"/>
      <protection locked="0"/>
    </xf>
    <xf numFmtId="0" fontId="9" fillId="0" borderId="4" xfId="0" applyFont="1" applyFill="1" applyBorder="1" applyAlignment="1" applyProtection="1">
      <alignment horizontal="left" wrapText="1"/>
    </xf>
    <xf numFmtId="10" fontId="8" fillId="0" borderId="4" xfId="1" applyNumberFormat="1" applyFont="1" applyFill="1" applyBorder="1" applyAlignment="1" applyProtection="1">
      <alignment horizontal="center" vertical="center"/>
    </xf>
    <xf numFmtId="0" fontId="0" fillId="0" borderId="45" xfId="0" applyFill="1" applyBorder="1" applyAlignment="1">
      <alignment horizontal="center" vertical="center"/>
    </xf>
    <xf numFmtId="2" fontId="0" fillId="0" borderId="46" xfId="0" applyNumberFormat="1" applyFill="1" applyBorder="1" applyAlignment="1">
      <alignment horizontal="center" vertical="center"/>
    </xf>
    <xf numFmtId="0" fontId="16" fillId="3" borderId="4" xfId="0" applyFont="1" applyFill="1" applyBorder="1" applyAlignment="1" applyProtection="1">
      <alignment horizontal="center" vertical="center"/>
    </xf>
    <xf numFmtId="10" fontId="17" fillId="0" borderId="43" xfId="1" applyNumberFormat="1" applyFont="1" applyFill="1" applyBorder="1" applyAlignment="1">
      <alignment horizontal="center" vertical="center" wrapText="1"/>
    </xf>
    <xf numFmtId="10" fontId="17" fillId="0" borderId="46" xfId="1" applyNumberFormat="1" applyFont="1" applyFill="1" applyBorder="1" applyAlignment="1">
      <alignment horizontal="center" vertical="center" wrapText="1"/>
    </xf>
    <xf numFmtId="0" fontId="21" fillId="3" borderId="56"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45" xfId="0" applyFont="1" applyFill="1" applyBorder="1" applyAlignment="1" applyProtection="1">
      <alignment horizontal="center" vertical="center"/>
    </xf>
    <xf numFmtId="0" fontId="21" fillId="3" borderId="63" xfId="0" applyFont="1" applyFill="1" applyBorder="1" applyAlignment="1" applyProtection="1">
      <alignment horizontal="center" vertical="center"/>
    </xf>
    <xf numFmtId="0" fontId="21" fillId="0" borderId="4" xfId="0" applyFont="1" applyFill="1" applyBorder="1" applyAlignment="1" applyProtection="1">
      <alignment horizontal="center" vertical="center" wrapText="1"/>
    </xf>
    <xf numFmtId="0" fontId="21" fillId="0" borderId="4" xfId="0" applyFont="1" applyFill="1" applyBorder="1" applyAlignment="1" applyProtection="1">
      <alignment horizontal="center" vertical="center" wrapText="1"/>
    </xf>
    <xf numFmtId="0" fontId="21" fillId="5" borderId="4" xfId="0" applyFont="1" applyFill="1" applyBorder="1" applyAlignment="1" applyProtection="1">
      <alignment horizontal="center" vertical="center" wrapText="1"/>
    </xf>
    <xf numFmtId="0" fontId="21" fillId="5" borderId="4" xfId="0" applyFont="1" applyFill="1" applyBorder="1" applyAlignment="1" applyProtection="1">
      <alignment horizontal="center" vertical="center"/>
    </xf>
    <xf numFmtId="0" fontId="28" fillId="0" borderId="4" xfId="0" applyFont="1" applyFill="1" applyBorder="1" applyAlignment="1">
      <alignment horizontal="center" vertical="center"/>
    </xf>
    <xf numFmtId="0" fontId="28" fillId="0" borderId="4" xfId="0" applyFont="1" applyFill="1" applyBorder="1" applyAlignment="1" applyProtection="1">
      <alignment horizontal="center" vertical="center" wrapText="1"/>
      <protection locked="0"/>
    </xf>
    <xf numFmtId="10" fontId="27" fillId="0" borderId="0" xfId="1" applyNumberFormat="1" applyFont="1" applyFill="1" applyBorder="1" applyAlignment="1" applyProtection="1">
      <alignment horizontal="center" vertical="center" wrapText="1"/>
      <protection locked="0"/>
    </xf>
    <xf numFmtId="0" fontId="69" fillId="11" borderId="4" xfId="0" applyFont="1" applyFill="1" applyBorder="1" applyAlignment="1">
      <alignment horizontal="center" vertical="center" wrapText="1"/>
    </xf>
    <xf numFmtId="0" fontId="21" fillId="0" borderId="0" xfId="0" applyFont="1" applyFill="1" applyBorder="1" applyAlignment="1" applyProtection="1">
      <alignment horizontal="center" vertical="center" wrapText="1"/>
    </xf>
    <xf numFmtId="0" fontId="21" fillId="3" borderId="61" xfId="0" applyFont="1" applyFill="1" applyBorder="1" applyAlignment="1" applyProtection="1">
      <alignment horizontal="center" vertical="center"/>
    </xf>
    <xf numFmtId="0" fontId="21" fillId="3" borderId="15" xfId="0" applyFont="1" applyFill="1" applyBorder="1" applyAlignment="1" applyProtection="1">
      <alignment horizontal="center" vertical="center"/>
    </xf>
    <xf numFmtId="49" fontId="22" fillId="3" borderId="15" xfId="0" applyNumberFormat="1" applyFont="1" applyFill="1" applyBorder="1" applyAlignment="1" applyProtection="1">
      <alignment horizontal="center" vertical="center"/>
    </xf>
    <xf numFmtId="0" fontId="23" fillId="3" borderId="15" xfId="0" applyFont="1" applyFill="1" applyBorder="1" applyAlignment="1" applyProtection="1">
      <alignment horizontal="center" vertical="center" wrapText="1"/>
    </xf>
    <xf numFmtId="0" fontId="21" fillId="3" borderId="15" xfId="0" applyFont="1" applyFill="1" applyBorder="1" applyAlignment="1" applyProtection="1">
      <alignment horizontal="center" vertical="center" wrapText="1"/>
    </xf>
    <xf numFmtId="0" fontId="21" fillId="3" borderId="47" xfId="0" applyFont="1" applyFill="1" applyBorder="1" applyAlignment="1" applyProtection="1">
      <alignment horizontal="center" vertical="center"/>
    </xf>
    <xf numFmtId="0" fontId="27" fillId="0" borderId="4" xfId="0" applyFont="1" applyFill="1" applyBorder="1" applyAlignment="1">
      <alignment horizontal="center" vertical="center"/>
    </xf>
    <xf numFmtId="0" fontId="28" fillId="3" borderId="4" xfId="0" applyFont="1" applyFill="1" applyBorder="1" applyAlignment="1" applyProtection="1">
      <alignment horizontal="center" vertical="center" wrapText="1"/>
      <protection locked="0"/>
    </xf>
    <xf numFmtId="0" fontId="27" fillId="3" borderId="4" xfId="0" applyFont="1" applyFill="1" applyBorder="1" applyAlignment="1" applyProtection="1">
      <alignment horizontal="center" vertical="center"/>
      <protection locked="0"/>
    </xf>
    <xf numFmtId="0" fontId="27" fillId="3" borderId="4" xfId="0" applyFont="1" applyFill="1" applyBorder="1" applyAlignment="1" applyProtection="1">
      <alignment horizontal="center" vertical="center" wrapText="1"/>
      <protection locked="0"/>
    </xf>
    <xf numFmtId="2" fontId="27" fillId="3" borderId="4" xfId="0" applyNumberFormat="1" applyFont="1" applyFill="1" applyBorder="1" applyAlignment="1" applyProtection="1">
      <alignment horizontal="center" vertical="center"/>
      <protection locked="0"/>
    </xf>
    <xf numFmtId="2" fontId="27" fillId="0" borderId="4" xfId="0" applyNumberFormat="1" applyFont="1" applyFill="1" applyBorder="1" applyAlignment="1" applyProtection="1">
      <alignment horizontal="center" vertical="center"/>
      <protection locked="0"/>
    </xf>
    <xf numFmtId="0" fontId="27" fillId="0" borderId="14" xfId="0" applyFont="1" applyFill="1" applyBorder="1" applyAlignment="1" applyProtection="1">
      <alignment horizontal="center" vertical="center" wrapText="1"/>
      <protection locked="0"/>
    </xf>
    <xf numFmtId="0" fontId="70" fillId="0" borderId="0" xfId="0" applyFont="1" applyAlignment="1">
      <alignment horizontal="left" vertical="center" wrapText="1"/>
    </xf>
    <xf numFmtId="0" fontId="70" fillId="0" borderId="0" xfId="0" applyFont="1" applyAlignment="1">
      <alignment wrapText="1"/>
    </xf>
    <xf numFmtId="0" fontId="71" fillId="0" borderId="0" xfId="4" applyFont="1"/>
    <xf numFmtId="0" fontId="27" fillId="0" borderId="4" xfId="0" applyFont="1" applyFill="1" applyBorder="1" applyAlignment="1">
      <alignment horizontal="center" vertical="center" wrapText="1"/>
    </xf>
    <xf numFmtId="0" fontId="28" fillId="0" borderId="4" xfId="0" applyFont="1" applyFill="1" applyBorder="1" applyAlignment="1" applyProtection="1">
      <alignment horizontal="center" vertical="center" wrapText="1"/>
      <protection locked="0"/>
    </xf>
    <xf numFmtId="0" fontId="27" fillId="0" borderId="4" xfId="0" applyFont="1" applyFill="1" applyBorder="1" applyAlignment="1">
      <alignment horizontal="center" vertical="center"/>
    </xf>
    <xf numFmtId="2" fontId="27" fillId="0" borderId="4" xfId="0" applyNumberFormat="1" applyFont="1" applyFill="1" applyBorder="1" applyAlignment="1" applyProtection="1">
      <alignment horizontal="center" vertical="center"/>
      <protection locked="0"/>
    </xf>
    <xf numFmtId="0" fontId="27" fillId="0" borderId="4" xfId="0" applyFont="1" applyFill="1" applyBorder="1" applyAlignment="1" applyProtection="1">
      <alignment horizontal="center" vertical="center" wrapText="1"/>
      <protection locked="0"/>
    </xf>
    <xf numFmtId="2" fontId="27" fillId="0" borderId="4" xfId="0" applyNumberFormat="1" applyFont="1" applyFill="1" applyBorder="1" applyAlignment="1" applyProtection="1">
      <alignment horizontal="center" vertical="center"/>
      <protection locked="0"/>
    </xf>
    <xf numFmtId="9" fontId="35" fillId="0" borderId="0" xfId="1" applyFont="1" applyFill="1" applyBorder="1" applyAlignment="1" applyProtection="1">
      <alignment horizontal="center" vertical="center"/>
      <protection locked="0"/>
    </xf>
    <xf numFmtId="0" fontId="27" fillId="4" borderId="4" xfId="0" applyFont="1" applyFill="1" applyBorder="1" applyAlignment="1">
      <alignment horizontal="center" vertical="center"/>
    </xf>
    <xf numFmtId="0" fontId="8" fillId="2" borderId="4" xfId="0" applyFont="1" applyFill="1" applyBorder="1" applyAlignment="1" applyProtection="1">
      <alignment horizontal="center" vertical="center"/>
    </xf>
    <xf numFmtId="0" fontId="8" fillId="2" borderId="4" xfId="0" applyFont="1" applyFill="1" applyBorder="1" applyAlignment="1" applyProtection="1">
      <alignment horizontal="center" vertical="center" wrapText="1"/>
    </xf>
    <xf numFmtId="0" fontId="0" fillId="0" borderId="4" xfId="0" applyFill="1" applyBorder="1" applyAlignment="1" applyProtection="1">
      <alignment vertical="top"/>
      <protection locked="0"/>
    </xf>
    <xf numFmtId="0" fontId="0" fillId="0" borderId="15" xfId="0" applyFill="1" applyBorder="1" applyAlignment="1" applyProtection="1">
      <alignment horizontal="left" vertical="center" wrapText="1"/>
      <protection locked="0"/>
    </xf>
    <xf numFmtId="0" fontId="21" fillId="0" borderId="4" xfId="0" applyFont="1" applyFill="1" applyBorder="1" applyAlignment="1" applyProtection="1">
      <alignment horizontal="center" vertical="center" wrapText="1"/>
    </xf>
    <xf numFmtId="0" fontId="27" fillId="0" borderId="4" xfId="0" applyFont="1" applyFill="1" applyBorder="1" applyAlignment="1">
      <alignment horizontal="center" vertical="center" wrapText="1"/>
    </xf>
    <xf numFmtId="0" fontId="28" fillId="0" borderId="4" xfId="0" applyFont="1" applyFill="1" applyBorder="1" applyAlignment="1" applyProtection="1">
      <alignment horizontal="center" vertical="center" wrapText="1"/>
      <protection locked="0"/>
    </xf>
    <xf numFmtId="0" fontId="27" fillId="0" borderId="4" xfId="0" applyFont="1" applyFill="1" applyBorder="1" applyAlignment="1">
      <alignment horizontal="center" vertical="center"/>
    </xf>
    <xf numFmtId="2" fontId="27" fillId="0" borderId="4" xfId="0" applyNumberFormat="1" applyFont="1" applyFill="1" applyBorder="1" applyAlignment="1" applyProtection="1">
      <alignment horizontal="center" vertical="center"/>
      <protection locked="0"/>
    </xf>
    <xf numFmtId="0" fontId="27" fillId="0" borderId="4" xfId="0" applyFont="1" applyFill="1" applyBorder="1" applyAlignment="1" applyProtection="1">
      <alignment horizontal="center" vertical="center" wrapText="1"/>
      <protection locked="0"/>
    </xf>
    <xf numFmtId="0" fontId="72" fillId="0" borderId="4" xfId="0" applyFont="1" applyFill="1" applyBorder="1" applyAlignment="1" applyProtection="1">
      <alignment horizontal="center" vertical="center"/>
      <protection locked="0"/>
    </xf>
    <xf numFmtId="0" fontId="72" fillId="0" borderId="4" xfId="0" applyFont="1" applyFill="1" applyBorder="1" applyAlignment="1" applyProtection="1">
      <alignment horizontal="center" vertical="center" wrapText="1"/>
      <protection locked="0"/>
    </xf>
    <xf numFmtId="2" fontId="72" fillId="0" borderId="4" xfId="0" applyNumberFormat="1" applyFont="1" applyFill="1" applyBorder="1" applyAlignment="1" applyProtection="1">
      <alignment horizontal="center" vertical="center"/>
      <protection locked="0"/>
    </xf>
    <xf numFmtId="0" fontId="48" fillId="0" borderId="4" xfId="0" applyFont="1" applyFill="1" applyBorder="1" applyAlignment="1" applyProtection="1">
      <alignment horizontal="center" vertical="center" wrapText="1"/>
    </xf>
    <xf numFmtId="0" fontId="72" fillId="0" borderId="0" xfId="0" applyFont="1" applyFill="1" applyAlignment="1" applyProtection="1">
      <alignment horizontal="center" vertical="center"/>
      <protection locked="0"/>
    </xf>
    <xf numFmtId="0" fontId="50" fillId="0" borderId="0" xfId="0" applyFont="1" applyFill="1" applyBorder="1" applyAlignment="1" applyProtection="1">
      <alignment horizontal="center" vertical="center"/>
      <protection locked="0"/>
    </xf>
    <xf numFmtId="2" fontId="27" fillId="4" borderId="4" xfId="0" applyNumberFormat="1" applyFont="1" applyFill="1" applyBorder="1" applyAlignment="1" applyProtection="1">
      <alignment horizontal="center" vertical="center"/>
      <protection locked="0"/>
    </xf>
    <xf numFmtId="0" fontId="0" fillId="0" borderId="9" xfId="0" applyBorder="1" applyAlignment="1">
      <alignment horizontal="center" vertical="center"/>
    </xf>
    <xf numFmtId="0" fontId="0" fillId="0" borderId="3" xfId="0" applyBorder="1" applyAlignment="1">
      <alignment horizontal="center" vertical="center"/>
    </xf>
    <xf numFmtId="0" fontId="27" fillId="0" borderId="15" xfId="0" applyFont="1" applyFill="1" applyBorder="1" applyAlignment="1">
      <alignment horizontal="center" vertical="center"/>
    </xf>
    <xf numFmtId="0" fontId="0" fillId="0" borderId="4" xfId="0" applyBorder="1" applyAlignment="1">
      <alignment horizontal="center" vertical="center"/>
    </xf>
    <xf numFmtId="2" fontId="27" fillId="0" borderId="15" xfId="0" applyNumberFormat="1" applyFont="1" applyFill="1" applyBorder="1" applyAlignment="1" applyProtection="1">
      <alignment horizontal="center" vertical="center"/>
      <protection locked="0"/>
    </xf>
    <xf numFmtId="2" fontId="27" fillId="0" borderId="4" xfId="0" applyNumberFormat="1" applyFont="1" applyFill="1" applyBorder="1" applyAlignment="1" applyProtection="1">
      <alignment horizontal="center" vertical="center"/>
      <protection locked="0"/>
    </xf>
    <xf numFmtId="2" fontId="27" fillId="0" borderId="4" xfId="0" applyNumberFormat="1" applyFont="1" applyFill="1" applyBorder="1" applyAlignment="1" applyProtection="1">
      <alignment horizontal="center" vertical="center"/>
      <protection locked="0"/>
    </xf>
    <xf numFmtId="0" fontId="5" fillId="0" borderId="0" xfId="0" applyFont="1"/>
    <xf numFmtId="2" fontId="27" fillId="4" borderId="4" xfId="0" applyNumberFormat="1" applyFont="1" applyFill="1" applyBorder="1" applyAlignment="1" applyProtection="1">
      <alignment horizontal="center" vertical="center"/>
      <protection locked="0"/>
    </xf>
    <xf numFmtId="10" fontId="9" fillId="0" borderId="4" xfId="1" applyNumberFormat="1" applyFont="1" applyFill="1" applyBorder="1" applyAlignment="1" applyProtection="1">
      <alignment horizontal="center" vertical="center"/>
    </xf>
    <xf numFmtId="168" fontId="0" fillId="0" borderId="0" xfId="1" applyNumberFormat="1" applyFont="1"/>
    <xf numFmtId="0" fontId="23" fillId="3" borderId="4" xfId="0" applyFont="1" applyFill="1" applyBorder="1" applyAlignment="1" applyProtection="1">
      <alignment horizontal="center" vertical="center" wrapText="1"/>
    </xf>
    <xf numFmtId="0" fontId="21" fillId="3" borderId="4" xfId="0" applyFont="1" applyFill="1" applyBorder="1" applyAlignment="1" applyProtection="1">
      <alignment horizontal="center" vertical="center" wrapText="1"/>
    </xf>
    <xf numFmtId="0" fontId="21" fillId="3" borderId="4" xfId="0" applyFont="1" applyFill="1" applyBorder="1" applyAlignment="1" applyProtection="1">
      <alignment horizontal="center" vertical="center"/>
    </xf>
    <xf numFmtId="49" fontId="22" fillId="3" borderId="4" xfId="0" applyNumberFormat="1" applyFont="1" applyFill="1" applyBorder="1" applyAlignment="1" applyProtection="1">
      <alignment horizontal="center" vertical="center"/>
    </xf>
    <xf numFmtId="0" fontId="21" fillId="0" borderId="4" xfId="0" applyFont="1" applyFill="1" applyBorder="1" applyAlignment="1" applyProtection="1">
      <alignment horizontal="center" vertical="center" wrapText="1"/>
    </xf>
    <xf numFmtId="0" fontId="27" fillId="0" borderId="4" xfId="0" applyFont="1" applyFill="1" applyBorder="1" applyAlignment="1">
      <alignment horizontal="center" vertical="center" wrapText="1"/>
    </xf>
    <xf numFmtId="0" fontId="28" fillId="0" borderId="4"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2" fontId="27" fillId="0" borderId="4" xfId="0" applyNumberFormat="1" applyFont="1" applyFill="1" applyBorder="1" applyAlignment="1" applyProtection="1">
      <alignment horizontal="center" vertical="center"/>
      <protection locked="0"/>
    </xf>
    <xf numFmtId="0" fontId="45" fillId="0" borderId="43" xfId="0" applyFont="1" applyFill="1" applyBorder="1" applyAlignment="1">
      <alignment horizontal="center"/>
    </xf>
    <xf numFmtId="0" fontId="45" fillId="0" borderId="45" xfId="0" applyFont="1" applyFill="1" applyBorder="1" applyAlignment="1">
      <alignment horizontal="center"/>
    </xf>
    <xf numFmtId="0" fontId="45" fillId="0" borderId="46" xfId="0" applyFont="1" applyFill="1" applyBorder="1" applyAlignment="1">
      <alignment horizontal="center"/>
    </xf>
    <xf numFmtId="0" fontId="26" fillId="0" borderId="0" xfId="0" applyFont="1" applyFill="1" applyAlignment="1" applyProtection="1">
      <alignment horizontal="center" vertical="center"/>
    </xf>
    <xf numFmtId="0" fontId="21" fillId="0" borderId="9" xfId="0" applyFont="1" applyFill="1" applyBorder="1" applyAlignment="1" applyProtection="1">
      <alignment horizontal="center" vertical="center" wrapText="1"/>
    </xf>
    <xf numFmtId="2" fontId="0" fillId="0" borderId="4" xfId="2" applyNumberFormat="1" applyFont="1" applyFill="1" applyBorder="1" applyProtection="1">
      <protection locked="0"/>
    </xf>
    <xf numFmtId="2" fontId="27" fillId="0" borderId="4" xfId="0" applyNumberFormat="1" applyFont="1" applyFill="1" applyBorder="1" applyAlignment="1" applyProtection="1">
      <alignment horizontal="center" vertical="center"/>
      <protection locked="0"/>
    </xf>
    <xf numFmtId="0" fontId="21" fillId="0" borderId="4" xfId="0" applyFont="1" applyFill="1" applyBorder="1" applyAlignment="1" applyProtection="1">
      <alignment horizontal="center" vertical="center" wrapText="1"/>
    </xf>
    <xf numFmtId="0" fontId="28" fillId="0" borderId="4" xfId="0" applyFont="1" applyFill="1" applyBorder="1" applyAlignment="1" applyProtection="1">
      <alignment horizontal="center" vertical="center" wrapText="1"/>
      <protection locked="0"/>
    </xf>
    <xf numFmtId="2" fontId="27" fillId="0" borderId="4" xfId="0" applyNumberFormat="1" applyFont="1" applyFill="1" applyBorder="1" applyAlignment="1" applyProtection="1">
      <alignment horizontal="center" vertical="center"/>
      <protection locked="0"/>
    </xf>
    <xf numFmtId="0" fontId="27" fillId="0" borderId="4" xfId="0" applyFont="1" applyFill="1" applyBorder="1" applyAlignment="1" applyProtection="1">
      <alignment horizontal="center" vertical="center" wrapText="1"/>
      <protection locked="0"/>
    </xf>
    <xf numFmtId="2" fontId="27" fillId="4" borderId="4" xfId="0" applyNumberFormat="1" applyFont="1" applyFill="1" applyBorder="1" applyAlignment="1" applyProtection="1">
      <alignment horizontal="center" vertical="center"/>
      <protection locked="0"/>
    </xf>
    <xf numFmtId="0" fontId="27" fillId="0" borderId="15" xfId="0" applyFont="1" applyFill="1" applyBorder="1" applyAlignment="1">
      <alignment horizontal="center" vertical="center"/>
    </xf>
    <xf numFmtId="0" fontId="27" fillId="0" borderId="4" xfId="0" applyFont="1" applyFill="1" applyBorder="1" applyAlignment="1">
      <alignment horizontal="center" vertical="center"/>
    </xf>
    <xf numFmtId="0" fontId="21" fillId="0" borderId="4" xfId="0" applyFont="1" applyFill="1" applyBorder="1" applyAlignment="1" applyProtection="1">
      <alignment horizontal="center" vertical="center" wrapText="1"/>
    </xf>
    <xf numFmtId="0" fontId="27" fillId="0" borderId="4" xfId="0" applyFont="1" applyFill="1" applyBorder="1" applyAlignment="1">
      <alignment horizontal="center" vertical="center" wrapText="1"/>
    </xf>
    <xf numFmtId="0" fontId="28" fillId="0" borderId="4"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2" fontId="27" fillId="4" borderId="4" xfId="0" applyNumberFormat="1" applyFont="1" applyFill="1" applyBorder="1" applyAlignment="1" applyProtection="1">
      <alignment horizontal="center" vertical="center"/>
      <protection locked="0"/>
    </xf>
    <xf numFmtId="2" fontId="27" fillId="0" borderId="4" xfId="0" applyNumberFormat="1" applyFont="1" applyFill="1" applyBorder="1" applyAlignment="1" applyProtection="1">
      <alignment horizontal="center" vertical="center"/>
      <protection locked="0"/>
    </xf>
    <xf numFmtId="0" fontId="72" fillId="0" borderId="4" xfId="0" applyFont="1" applyFill="1" applyBorder="1" applyAlignment="1">
      <alignment horizontal="center" vertical="center"/>
    </xf>
    <xf numFmtId="0" fontId="72" fillId="0" borderId="4" xfId="0" applyFont="1" applyFill="1" applyBorder="1" applyAlignment="1">
      <alignment horizontal="center" vertical="center" wrapText="1"/>
    </xf>
    <xf numFmtId="0" fontId="8" fillId="2" borderId="15"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28" fillId="0" borderId="4" xfId="0" applyFont="1" applyFill="1" applyBorder="1" applyAlignment="1" applyProtection="1">
      <alignment horizontal="center" vertical="center" wrapText="1"/>
      <protection locked="0"/>
    </xf>
    <xf numFmtId="2" fontId="27" fillId="0" borderId="4" xfId="0" applyNumberFormat="1" applyFont="1" applyFill="1" applyBorder="1" applyAlignment="1" applyProtection="1">
      <alignment horizontal="center" vertical="center"/>
      <protection locked="0"/>
    </xf>
    <xf numFmtId="0" fontId="27" fillId="0" borderId="4"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60" fillId="0" borderId="0" xfId="0" applyFont="1" applyFill="1" applyBorder="1" applyAlignment="1">
      <alignment horizontal="center" vertical="center" wrapText="1"/>
    </xf>
    <xf numFmtId="0" fontId="74" fillId="0" borderId="0" xfId="0" applyFont="1" applyFill="1"/>
    <xf numFmtId="0" fontId="61" fillId="0" borderId="4"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0" fillId="0" borderId="4" xfId="0" applyFont="1" applyFill="1" applyBorder="1" applyAlignment="1">
      <alignment vertical="center" wrapText="1"/>
    </xf>
    <xf numFmtId="0" fontId="58" fillId="0" borderId="4" xfId="0" applyFont="1" applyFill="1" applyBorder="1" applyAlignment="1">
      <alignment horizontal="center" vertical="center" wrapText="1"/>
    </xf>
    <xf numFmtId="0" fontId="33" fillId="0" borderId="0" xfId="0" applyFont="1" applyFill="1" applyBorder="1" applyAlignment="1" applyProtection="1">
      <alignment horizontal="center" vertical="center" wrapText="1"/>
    </xf>
    <xf numFmtId="0" fontId="34" fillId="0" borderId="0" xfId="0" applyFont="1" applyFill="1" applyBorder="1" applyAlignment="1">
      <alignment horizontal="center" vertical="center" wrapText="1"/>
    </xf>
    <xf numFmtId="9" fontId="45" fillId="0" borderId="0" xfId="0" applyNumberFormat="1" applyFont="1" applyFill="1"/>
    <xf numFmtId="0" fontId="45" fillId="0" borderId="0" xfId="0" applyFont="1" applyFill="1" applyAlignment="1">
      <alignment horizontal="left"/>
    </xf>
    <xf numFmtId="2" fontId="0" fillId="0" borderId="14" xfId="0" applyNumberFormat="1" applyFill="1" applyBorder="1" applyAlignment="1" applyProtection="1">
      <alignment horizontal="center"/>
      <protection locked="0"/>
    </xf>
    <xf numFmtId="0" fontId="0" fillId="0" borderId="4" xfId="0" applyFill="1" applyBorder="1" applyAlignment="1" applyProtection="1">
      <alignment wrapText="1"/>
      <protection locked="0"/>
    </xf>
    <xf numFmtId="0" fontId="0" fillId="0" borderId="4" xfId="0" applyFill="1" applyBorder="1" applyAlignment="1" applyProtection="1">
      <alignment horizontal="center" wrapText="1"/>
      <protection locked="0"/>
    </xf>
    <xf numFmtId="10" fontId="27" fillId="0" borderId="0" xfId="1" applyNumberFormat="1" applyFont="1" applyFill="1" applyBorder="1" applyAlignment="1" applyProtection="1">
      <alignment horizontal="center" vertical="center"/>
      <protection locked="0"/>
    </xf>
    <xf numFmtId="10" fontId="27" fillId="0" borderId="4"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75" fillId="0" borderId="4" xfId="0" applyFont="1" applyFill="1" applyBorder="1" applyAlignment="1" applyProtection="1">
      <alignment horizontal="center" vertical="center"/>
      <protection locked="0"/>
    </xf>
    <xf numFmtId="164" fontId="0" fillId="0" borderId="4" xfId="0" applyNumberFormat="1" applyFill="1" applyBorder="1" applyAlignment="1" applyProtection="1">
      <alignment horizontal="right" vertical="center"/>
      <protection locked="0"/>
    </xf>
    <xf numFmtId="164" fontId="0" fillId="0" borderId="4" xfId="0" applyNumberFormat="1" applyFill="1" applyBorder="1" applyAlignment="1" applyProtection="1">
      <alignment horizontal="center"/>
      <protection locked="0"/>
    </xf>
    <xf numFmtId="9" fontId="35" fillId="0" borderId="4" xfId="1" applyFont="1" applyFill="1" applyBorder="1" applyAlignment="1" applyProtection="1">
      <alignment horizontal="center" vertical="center"/>
      <protection locked="0"/>
    </xf>
    <xf numFmtId="3" fontId="66"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4" fontId="66" fillId="0" borderId="0" xfId="0" applyNumberFormat="1" applyFont="1" applyFill="1" applyBorder="1" applyAlignment="1">
      <alignment horizontal="center" vertical="center" wrapText="1"/>
    </xf>
    <xf numFmtId="167" fontId="0" fillId="3" borderId="4" xfId="0" applyNumberFormat="1" applyFill="1" applyBorder="1" applyAlignment="1" applyProtection="1">
      <alignment horizontal="center"/>
      <protection locked="0"/>
    </xf>
    <xf numFmtId="0" fontId="0" fillId="0" borderId="0" xfId="0" applyFill="1" applyBorder="1" applyAlignment="1" applyProtection="1">
      <alignment horizont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Alignment="1" applyProtection="1">
      <alignment horizontal="center" vertical="center"/>
      <protection locked="0"/>
    </xf>
    <xf numFmtId="0" fontId="37" fillId="0" borderId="0"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xf>
    <xf numFmtId="0" fontId="37" fillId="0" borderId="0" xfId="0" applyFont="1" applyFill="1" applyAlignment="1" applyProtection="1">
      <alignment horizontal="center" vertical="center"/>
    </xf>
    <xf numFmtId="0" fontId="38" fillId="0" borderId="0" xfId="0" applyFont="1" applyFill="1" applyAlignment="1" applyProtection="1">
      <alignment horizontal="center" vertical="center"/>
    </xf>
    <xf numFmtId="0" fontId="37" fillId="0" borderId="4" xfId="0" applyFont="1" applyFill="1" applyBorder="1" applyAlignment="1">
      <alignment horizontal="center" vertical="center"/>
    </xf>
    <xf numFmtId="0" fontId="37" fillId="2" borderId="4" xfId="0" applyFont="1" applyFill="1" applyBorder="1" applyAlignment="1">
      <alignment horizontal="center" vertical="center"/>
    </xf>
    <xf numFmtId="0" fontId="78" fillId="0" borderId="0" xfId="0" applyFont="1" applyFill="1" applyBorder="1" applyAlignment="1">
      <alignment horizontal="center" vertical="center" wrapText="1"/>
    </xf>
    <xf numFmtId="0" fontId="38" fillId="2" borderId="4" xfId="0" applyFont="1" applyFill="1" applyBorder="1" applyAlignment="1" applyProtection="1">
      <alignment horizontal="center" vertical="center"/>
    </xf>
    <xf numFmtId="1" fontId="37" fillId="0" borderId="4" xfId="0" applyNumberFormat="1" applyFont="1" applyBorder="1" applyAlignment="1">
      <alignment horizontal="center" vertical="center"/>
    </xf>
    <xf numFmtId="0" fontId="37" fillId="4" borderId="4" xfId="0" applyFont="1" applyFill="1" applyBorder="1" applyAlignment="1" applyProtection="1">
      <alignment horizontal="center" vertical="center"/>
      <protection locked="0"/>
    </xf>
    <xf numFmtId="1" fontId="37" fillId="4" borderId="4" xfId="0" applyNumberFormat="1" applyFont="1" applyFill="1" applyBorder="1" applyAlignment="1">
      <alignment horizontal="center" vertical="center"/>
    </xf>
    <xf numFmtId="2" fontId="37" fillId="4" borderId="4" xfId="0" applyNumberFormat="1" applyFont="1" applyFill="1" applyBorder="1" applyAlignment="1" applyProtection="1">
      <alignment horizontal="center" vertical="center"/>
    </xf>
    <xf numFmtId="2" fontId="37" fillId="4" borderId="4" xfId="0" applyNumberFormat="1" applyFont="1" applyFill="1" applyBorder="1" applyAlignment="1" applyProtection="1">
      <alignment horizontal="center" vertical="center"/>
      <protection locked="0"/>
    </xf>
    <xf numFmtId="167" fontId="37" fillId="0" borderId="4" xfId="0" applyNumberFormat="1" applyFont="1" applyFill="1" applyBorder="1" applyAlignment="1" applyProtection="1">
      <alignment horizontal="center" vertical="center"/>
      <protection locked="0"/>
    </xf>
    <xf numFmtId="165" fontId="37" fillId="0" borderId="4" xfId="0" applyNumberFormat="1" applyFont="1" applyFill="1" applyBorder="1" applyAlignment="1" applyProtection="1">
      <alignment horizontal="center" vertical="center"/>
      <protection locked="0"/>
    </xf>
    <xf numFmtId="167" fontId="37" fillId="4" borderId="4" xfId="0" applyNumberFormat="1" applyFont="1" applyFill="1" applyBorder="1" applyAlignment="1" applyProtection="1">
      <alignment horizontal="center" vertical="center"/>
      <protection locked="0"/>
    </xf>
    <xf numFmtId="0" fontId="37" fillId="4" borderId="4" xfId="0" applyFont="1" applyFill="1" applyBorder="1" applyAlignment="1" applyProtection="1">
      <alignment horizontal="center" vertical="center" wrapText="1"/>
      <protection locked="0"/>
    </xf>
    <xf numFmtId="0" fontId="37" fillId="4" borderId="0" xfId="0" applyFont="1" applyFill="1" applyAlignment="1" applyProtection="1">
      <alignment horizontal="center" vertical="center"/>
      <protection locked="0"/>
    </xf>
    <xf numFmtId="0" fontId="37" fillId="0" borderId="4" xfId="0" applyFont="1" applyFill="1" applyBorder="1" applyAlignment="1" applyProtection="1">
      <alignment horizontal="center" vertical="center"/>
      <protection locked="0"/>
    </xf>
    <xf numFmtId="1" fontId="37" fillId="0" borderId="4" xfId="0" applyNumberFormat="1" applyFont="1" applyFill="1" applyBorder="1" applyAlignment="1">
      <alignment horizontal="center" vertical="center"/>
    </xf>
    <xf numFmtId="2" fontId="37" fillId="0" borderId="4" xfId="0" applyNumberFormat="1" applyFont="1" applyFill="1" applyBorder="1" applyAlignment="1" applyProtection="1">
      <alignment horizontal="center" vertical="center"/>
      <protection locked="0"/>
    </xf>
    <xf numFmtId="0" fontId="37" fillId="0" borderId="4" xfId="0" applyFont="1" applyFill="1" applyBorder="1" applyAlignment="1" applyProtection="1">
      <alignment horizontal="center" vertical="center" wrapText="1"/>
      <protection locked="0"/>
    </xf>
    <xf numFmtId="1" fontId="37" fillId="0" borderId="0" xfId="0" applyNumberFormat="1" applyFont="1" applyAlignment="1">
      <alignment horizontal="center" vertical="center"/>
    </xf>
    <xf numFmtId="2" fontId="37" fillId="0" borderId="15" xfId="0" applyNumberFormat="1" applyFont="1" applyFill="1" applyBorder="1" applyAlignment="1" applyProtection="1">
      <alignment horizontal="center" vertical="center"/>
    </xf>
    <xf numFmtId="2" fontId="37" fillId="0" borderId="0" xfId="0" applyNumberFormat="1" applyFont="1" applyFill="1" applyAlignment="1" applyProtection="1">
      <alignment horizontal="center" vertical="center"/>
      <protection locked="0"/>
    </xf>
    <xf numFmtId="2" fontId="37" fillId="0" borderId="15" xfId="0" applyNumberFormat="1" applyFont="1" applyFill="1" applyBorder="1" applyAlignment="1" applyProtection="1">
      <alignment horizontal="center" vertical="center"/>
      <protection locked="0"/>
    </xf>
    <xf numFmtId="0" fontId="37" fillId="0" borderId="0" xfId="0" applyFont="1" applyFill="1" applyAlignment="1" applyProtection="1">
      <alignment horizontal="center" vertical="center" wrapText="1"/>
      <protection locked="0"/>
    </xf>
    <xf numFmtId="167" fontId="37" fillId="0" borderId="3" xfId="0" applyNumberFormat="1" applyFont="1" applyFill="1" applyBorder="1" applyAlignment="1" applyProtection="1">
      <alignment horizontal="center" vertical="center"/>
      <protection locked="0"/>
    </xf>
    <xf numFmtId="172" fontId="37" fillId="0" borderId="0" xfId="0" applyNumberFormat="1" applyFont="1" applyFill="1" applyBorder="1" applyAlignment="1" applyProtection="1">
      <alignment horizontal="center" vertical="center"/>
      <protection locked="0"/>
    </xf>
    <xf numFmtId="2" fontId="37" fillId="0" borderId="0" xfId="0" applyNumberFormat="1" applyFont="1" applyFill="1" applyBorder="1" applyAlignment="1" applyProtection="1">
      <alignment horizontal="center" vertical="center"/>
    </xf>
    <xf numFmtId="2" fontId="37" fillId="0" borderId="0" xfId="0" applyNumberFormat="1" applyFont="1" applyFill="1" applyBorder="1" applyAlignment="1" applyProtection="1">
      <alignment horizontal="center" vertical="center"/>
      <protection locked="0"/>
    </xf>
    <xf numFmtId="0" fontId="37" fillId="0" borderId="0" xfId="0" applyFont="1" applyFill="1" applyBorder="1" applyAlignment="1" applyProtection="1">
      <alignment horizontal="center" vertical="center" wrapText="1"/>
      <protection locked="0"/>
    </xf>
    <xf numFmtId="167" fontId="37" fillId="0" borderId="0" xfId="0" applyNumberFormat="1" applyFont="1" applyFill="1" applyBorder="1" applyAlignment="1" applyProtection="1">
      <alignment horizontal="center" vertical="center"/>
      <protection locked="0"/>
    </xf>
    <xf numFmtId="10" fontId="37" fillId="0" borderId="0" xfId="1" applyNumberFormat="1" applyFont="1" applyFill="1" applyBorder="1" applyAlignment="1" applyProtection="1">
      <alignment horizontal="center" vertical="center"/>
      <protection locked="0"/>
    </xf>
    <xf numFmtId="10" fontId="45" fillId="0" borderId="0" xfId="1" applyNumberFormat="1" applyFont="1" applyFill="1" applyBorder="1" applyAlignment="1" applyProtection="1">
      <alignment horizontal="center" vertical="center"/>
      <protection locked="0"/>
    </xf>
    <xf numFmtId="10" fontId="37" fillId="0" borderId="0" xfId="0" applyNumberFormat="1" applyFont="1" applyFill="1" applyBorder="1" applyAlignment="1" applyProtection="1">
      <alignment horizontal="center" vertical="center"/>
      <protection locked="0"/>
    </xf>
    <xf numFmtId="0" fontId="45" fillId="0" borderId="0" xfId="0" applyFont="1" applyFill="1" applyAlignment="1" applyProtection="1">
      <alignment horizontal="center" vertical="center"/>
      <protection locked="0"/>
    </xf>
    <xf numFmtId="0" fontId="45" fillId="0" borderId="0" xfId="0" applyFont="1" applyFill="1" applyBorder="1" applyAlignment="1" applyProtection="1">
      <alignment horizontal="center" vertical="center" wrapText="1"/>
      <protection locked="0"/>
    </xf>
    <xf numFmtId="166" fontId="37" fillId="0" borderId="0" xfId="2" applyNumberFormat="1" applyFont="1" applyFill="1" applyBorder="1" applyAlignment="1" applyProtection="1">
      <alignment horizontal="center" vertical="center"/>
      <protection locked="0"/>
    </xf>
    <xf numFmtId="168" fontId="37" fillId="0" borderId="4" xfId="0" applyNumberFormat="1" applyFont="1" applyFill="1" applyBorder="1" applyAlignment="1" applyProtection="1">
      <alignment horizontal="center" vertical="center"/>
      <protection locked="0"/>
    </xf>
    <xf numFmtId="9" fontId="37" fillId="0" borderId="0" xfId="1" applyFont="1" applyFill="1" applyBorder="1" applyAlignment="1" applyProtection="1">
      <alignment horizontal="center" vertical="center"/>
    </xf>
    <xf numFmtId="9" fontId="37" fillId="0" borderId="0" xfId="1" applyFont="1" applyFill="1" applyBorder="1" applyAlignment="1" applyProtection="1">
      <alignment horizontal="center" vertical="center"/>
      <protection locked="0"/>
    </xf>
    <xf numFmtId="10" fontId="37" fillId="0" borderId="4" xfId="0" applyNumberFormat="1" applyFont="1" applyFill="1" applyBorder="1" applyAlignment="1" applyProtection="1">
      <alignment horizontal="center" vertical="center"/>
      <protection locked="0"/>
    </xf>
    <xf numFmtId="9" fontId="37" fillId="0" borderId="0" xfId="0" applyNumberFormat="1" applyFont="1" applyFill="1" applyBorder="1" applyAlignment="1" applyProtection="1">
      <alignment horizontal="center" vertical="center"/>
      <protection locked="0"/>
    </xf>
    <xf numFmtId="0" fontId="79" fillId="0" borderId="0" xfId="0" applyFont="1" applyFill="1" applyBorder="1"/>
    <xf numFmtId="0" fontId="38" fillId="0" borderId="0" xfId="0" applyFont="1" applyFill="1" applyBorder="1" applyAlignment="1" applyProtection="1">
      <alignment horizontal="center" vertical="center"/>
    </xf>
    <xf numFmtId="10" fontId="37" fillId="0" borderId="4" xfId="1" applyNumberFormat="1" applyFont="1" applyFill="1" applyBorder="1" applyAlignment="1" applyProtection="1">
      <alignment horizontal="center" vertical="center"/>
      <protection locked="0"/>
    </xf>
    <xf numFmtId="10" fontId="37" fillId="0" borderId="0" xfId="1" applyNumberFormat="1" applyFont="1" applyFill="1" applyBorder="1" applyAlignment="1" applyProtection="1">
      <alignment horizontal="center" vertical="center"/>
    </xf>
    <xf numFmtId="164" fontId="37" fillId="0" borderId="0" xfId="1" applyNumberFormat="1" applyFont="1" applyFill="1" applyBorder="1" applyAlignment="1" applyProtection="1">
      <alignment horizontal="center" vertical="center"/>
    </xf>
    <xf numFmtId="2" fontId="37" fillId="0" borderId="0" xfId="1" applyNumberFormat="1" applyFont="1" applyFill="1" applyBorder="1" applyAlignment="1" applyProtection="1">
      <alignment horizontal="center" vertical="center"/>
      <protection locked="0"/>
    </xf>
    <xf numFmtId="168" fontId="37" fillId="0" borderId="0" xfId="0" applyNumberFormat="1" applyFont="1" applyFill="1" applyBorder="1" applyAlignment="1" applyProtection="1">
      <alignment horizontal="center" vertical="center"/>
      <protection locked="0"/>
    </xf>
    <xf numFmtId="0" fontId="37" fillId="0" borderId="0" xfId="1" applyNumberFormat="1" applyFont="1" applyFill="1" applyBorder="1" applyAlignment="1" applyProtection="1">
      <alignment horizontal="center" vertical="center"/>
    </xf>
    <xf numFmtId="168" fontId="37" fillId="0" borderId="0" xfId="1" applyNumberFormat="1" applyFont="1" applyFill="1" applyAlignment="1" applyProtection="1">
      <alignment horizontal="center" vertical="center"/>
      <protection locked="0"/>
    </xf>
    <xf numFmtId="2" fontId="37" fillId="0" borderId="0" xfId="0" applyNumberFormat="1" applyFont="1" applyFill="1" applyBorder="1" applyAlignment="1" applyProtection="1">
      <alignment horizontal="center" vertical="center" wrapText="1"/>
      <protection locked="0"/>
    </xf>
    <xf numFmtId="2" fontId="38" fillId="0" borderId="4" xfId="0" applyNumberFormat="1" applyFont="1" applyFill="1" applyBorder="1" applyAlignment="1" applyProtection="1">
      <alignment horizontal="center" vertical="center" wrapText="1"/>
      <protection locked="0"/>
    </xf>
    <xf numFmtId="2" fontId="37" fillId="0" borderId="0" xfId="0" applyNumberFormat="1" applyFont="1" applyFill="1" applyAlignment="1" applyProtection="1">
      <alignment horizontal="center" vertical="center" wrapText="1"/>
      <protection locked="0"/>
    </xf>
    <xf numFmtId="0" fontId="38" fillId="4" borderId="4" xfId="0" applyFont="1" applyFill="1" applyBorder="1" applyAlignment="1" applyProtection="1">
      <alignment horizontal="center" vertical="center"/>
    </xf>
    <xf numFmtId="10" fontId="37" fillId="4" borderId="4" xfId="0" applyNumberFormat="1" applyFont="1" applyFill="1" applyBorder="1" applyAlignment="1" applyProtection="1">
      <alignment horizontal="center" vertical="center"/>
      <protection locked="0"/>
    </xf>
    <xf numFmtId="0" fontId="78" fillId="4" borderId="4" xfId="0" applyFont="1" applyFill="1" applyBorder="1" applyAlignment="1">
      <alignment horizontal="center" vertical="center" wrapText="1"/>
    </xf>
    <xf numFmtId="0" fontId="38" fillId="0" borderId="4" xfId="0" applyFont="1" applyFill="1" applyBorder="1" applyAlignment="1" applyProtection="1">
      <alignment horizontal="center" vertical="center"/>
      <protection locked="0"/>
    </xf>
    <xf numFmtId="164" fontId="37" fillId="4" borderId="4" xfId="2" applyFont="1" applyFill="1" applyBorder="1" applyAlignment="1" applyProtection="1">
      <alignment horizontal="center" vertical="center"/>
      <protection locked="0"/>
    </xf>
    <xf numFmtId="0" fontId="37" fillId="4" borderId="4" xfId="0" applyFont="1" applyFill="1" applyBorder="1" applyAlignment="1" applyProtection="1">
      <alignment horizontal="left" vertical="center"/>
      <protection locked="0"/>
    </xf>
    <xf numFmtId="1" fontId="37" fillId="0" borderId="0" xfId="0" applyNumberFormat="1" applyFont="1" applyFill="1" applyAlignment="1">
      <alignment horizontal="center" vertical="center"/>
    </xf>
    <xf numFmtId="0" fontId="45" fillId="0" borderId="4" xfId="0" applyFont="1" applyFill="1" applyBorder="1" applyAlignment="1" applyProtection="1">
      <alignment horizontal="center" vertical="center"/>
      <protection locked="0"/>
    </xf>
    <xf numFmtId="0" fontId="37" fillId="0" borderId="4" xfId="0" applyFont="1" applyFill="1" applyBorder="1" applyAlignment="1" applyProtection="1">
      <alignment horizontal="left" vertical="center"/>
      <protection locked="0"/>
    </xf>
    <xf numFmtId="2" fontId="38" fillId="0" borderId="4" xfId="0" applyNumberFormat="1" applyFont="1" applyFill="1" applyBorder="1" applyAlignment="1" applyProtection="1">
      <alignment horizontal="center" vertical="center"/>
      <protection locked="0"/>
    </xf>
    <xf numFmtId="0" fontId="38" fillId="0" borderId="4" xfId="0" applyFont="1" applyFill="1" applyBorder="1" applyAlignment="1" applyProtection="1">
      <alignment horizontal="left" vertical="center"/>
      <protection locked="0"/>
    </xf>
    <xf numFmtId="0" fontId="38" fillId="0" borderId="4" xfId="0" applyFont="1" applyFill="1" applyBorder="1" applyAlignment="1" applyProtection="1">
      <alignment vertical="center"/>
      <protection locked="0"/>
    </xf>
    <xf numFmtId="0" fontId="38" fillId="0" borderId="4" xfId="0" applyFont="1" applyFill="1" applyBorder="1" applyAlignment="1" applyProtection="1">
      <alignment vertical="center"/>
    </xf>
    <xf numFmtId="0" fontId="37" fillId="0" borderId="4" xfId="0" applyFont="1" applyFill="1" applyBorder="1" applyAlignment="1" applyProtection="1">
      <alignment vertical="center"/>
      <protection locked="0"/>
    </xf>
    <xf numFmtId="0" fontId="38" fillId="0" borderId="4" xfId="0" applyFont="1" applyFill="1" applyBorder="1" applyAlignment="1" applyProtection="1">
      <alignment horizontal="left" vertical="center"/>
    </xf>
    <xf numFmtId="2" fontId="37" fillId="0" borderId="4" xfId="0" applyNumberFormat="1" applyFont="1" applyFill="1" applyBorder="1" applyAlignment="1" applyProtection="1">
      <alignment horizontal="left" vertical="center"/>
      <protection locked="0"/>
    </xf>
    <xf numFmtId="2" fontId="38" fillId="0" borderId="4" xfId="0" applyNumberFormat="1" applyFont="1" applyFill="1" applyBorder="1" applyAlignment="1" applyProtection="1">
      <alignment horizontal="left" vertical="center"/>
    </xf>
    <xf numFmtId="2" fontId="38" fillId="0" borderId="4" xfId="0" applyNumberFormat="1" applyFont="1" applyFill="1" applyBorder="1" applyAlignment="1" applyProtection="1">
      <alignment horizontal="left" vertical="center"/>
      <protection locked="0"/>
    </xf>
    <xf numFmtId="10" fontId="37" fillId="4" borderId="4" xfId="1"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left"/>
      <protection locked="0"/>
    </xf>
    <xf numFmtId="0" fontId="45" fillId="0" borderId="0" xfId="4" applyFont="1"/>
    <xf numFmtId="2" fontId="38" fillId="3" borderId="4" xfId="4" applyNumberFormat="1" applyFont="1" applyFill="1" applyBorder="1" applyAlignment="1">
      <alignment horizontal="center" vertical="center" wrapText="1"/>
    </xf>
    <xf numFmtId="3" fontId="35" fillId="0" borderId="4" xfId="0" applyNumberFormat="1" applyFont="1" applyBorder="1"/>
    <xf numFmtId="0" fontId="35" fillId="0" borderId="4" xfId="0" applyFont="1" applyBorder="1"/>
    <xf numFmtId="0" fontId="39" fillId="0" borderId="4" xfId="4" applyFont="1" applyBorder="1"/>
    <xf numFmtId="0" fontId="37" fillId="0" borderId="4" xfId="4" applyFont="1" applyBorder="1" applyAlignment="1">
      <alignment horizontal="center"/>
    </xf>
    <xf numFmtId="0" fontId="81" fillId="3" borderId="4" xfId="0" applyFont="1" applyFill="1" applyBorder="1" applyAlignment="1">
      <alignment horizontal="center" vertical="center" wrapText="1"/>
    </xf>
    <xf numFmtId="164" fontId="85" fillId="0" borderId="4" xfId="2" applyFont="1" applyBorder="1" applyAlignment="1">
      <alignment vertical="center" wrapText="1"/>
    </xf>
    <xf numFmtId="0" fontId="86" fillId="0" borderId="0" xfId="4" applyFont="1"/>
    <xf numFmtId="0" fontId="37" fillId="0" borderId="4" xfId="4" applyFont="1" applyFill="1" applyBorder="1" applyAlignment="1">
      <alignment horizontal="center" vertical="center"/>
    </xf>
    <xf numFmtId="0" fontId="37" fillId="0" borderId="4" xfId="4" applyFont="1" applyFill="1" applyBorder="1"/>
    <xf numFmtId="0" fontId="46" fillId="0" borderId="4" xfId="4" applyFont="1" applyFill="1" applyBorder="1"/>
    <xf numFmtId="2" fontId="46" fillId="3" borderId="33" xfId="4" applyNumberFormat="1" applyFont="1" applyFill="1" applyBorder="1" applyAlignment="1">
      <alignment horizontal="left" vertical="center" wrapText="1"/>
    </xf>
    <xf numFmtId="0" fontId="81" fillId="3" borderId="43" xfId="0" applyFont="1" applyFill="1" applyBorder="1" applyAlignment="1">
      <alignment horizontal="center" vertical="center" wrapText="1"/>
    </xf>
    <xf numFmtId="0" fontId="46" fillId="0" borderId="42" xfId="4" applyFont="1" applyBorder="1"/>
    <xf numFmtId="164" fontId="85" fillId="0" borderId="43" xfId="2" applyFont="1" applyBorder="1" applyAlignment="1">
      <alignment vertical="center" wrapText="1"/>
    </xf>
    <xf numFmtId="0" fontId="46" fillId="0" borderId="44" xfId="4" applyFont="1" applyBorder="1"/>
    <xf numFmtId="164" fontId="46" fillId="0" borderId="45" xfId="4" applyNumberFormat="1" applyFont="1" applyBorder="1" applyAlignment="1"/>
    <xf numFmtId="164" fontId="46" fillId="0" borderId="46" xfId="4" applyNumberFormat="1" applyFont="1" applyBorder="1" applyAlignment="1"/>
    <xf numFmtId="0" fontId="80" fillId="0" borderId="4" xfId="0" applyFont="1" applyFill="1" applyBorder="1" applyAlignment="1">
      <alignment horizontal="center" vertical="center"/>
    </xf>
    <xf numFmtId="0" fontId="80" fillId="0" borderId="4" xfId="0" applyFont="1" applyFill="1" applyBorder="1" applyAlignment="1">
      <alignment horizontal="center" vertical="center" wrapText="1"/>
    </xf>
    <xf numFmtId="0" fontId="89" fillId="0" borderId="4" xfId="0" applyFont="1" applyFill="1" applyBorder="1" applyAlignment="1">
      <alignment horizontal="center" vertical="center" wrapText="1"/>
    </xf>
    <xf numFmtId="0" fontId="88" fillId="0" borderId="14" xfId="0" applyFont="1" applyFill="1" applyBorder="1" applyAlignment="1">
      <alignment vertical="center" wrapText="1"/>
    </xf>
    <xf numFmtId="2" fontId="89" fillId="0" borderId="4" xfId="0" applyNumberFormat="1" applyFont="1" applyFill="1" applyBorder="1" applyAlignment="1">
      <alignment horizontal="center" vertical="center" wrapText="1"/>
    </xf>
    <xf numFmtId="0" fontId="89" fillId="0" borderId="4" xfId="0" applyFont="1" applyFill="1" applyBorder="1" applyAlignment="1">
      <alignment wrapText="1"/>
    </xf>
    <xf numFmtId="0" fontId="45" fillId="0" borderId="4" xfId="0" applyFont="1" applyFill="1" applyBorder="1" applyAlignment="1">
      <alignment wrapText="1"/>
    </xf>
    <xf numFmtId="0" fontId="45" fillId="0" borderId="4" xfId="0" applyFont="1" applyFill="1" applyBorder="1" applyAlignment="1">
      <alignment horizontal="left" vertical="center" wrapText="1"/>
    </xf>
    <xf numFmtId="167" fontId="89" fillId="0" borderId="4" xfId="0" applyNumberFormat="1" applyFont="1" applyFill="1" applyBorder="1" applyAlignment="1">
      <alignment horizontal="center" vertical="center" wrapText="1"/>
    </xf>
    <xf numFmtId="0" fontId="88" fillId="0" borderId="4" xfId="0" applyFont="1" applyFill="1" applyBorder="1" applyAlignment="1">
      <alignment vertical="center" wrapText="1"/>
    </xf>
    <xf numFmtId="2" fontId="89" fillId="0" borderId="0" xfId="0" applyNumberFormat="1" applyFont="1" applyFill="1" applyBorder="1" applyAlignment="1">
      <alignment horizontal="center" vertical="center" wrapText="1"/>
    </xf>
    <xf numFmtId="4" fontId="80" fillId="0" borderId="4" xfId="0" applyNumberFormat="1" applyFont="1" applyFill="1" applyBorder="1" applyAlignment="1">
      <alignment horizontal="center" vertical="center" wrapText="1"/>
    </xf>
    <xf numFmtId="4" fontId="87" fillId="0" borderId="4" xfId="0" applyNumberFormat="1" applyFont="1" applyFill="1" applyBorder="1" applyAlignment="1">
      <alignment horizontal="center" vertical="center" wrapText="1"/>
    </xf>
    <xf numFmtId="173" fontId="87" fillId="0" borderId="4" xfId="0" applyNumberFormat="1" applyFont="1" applyFill="1" applyBorder="1" applyAlignment="1">
      <alignment horizontal="center" vertical="center" wrapText="1"/>
    </xf>
    <xf numFmtId="10" fontId="87" fillId="0" borderId="4" xfId="0" applyNumberFormat="1" applyFont="1" applyFill="1" applyBorder="1" applyAlignment="1">
      <alignment horizontal="center" vertical="center" wrapText="1"/>
    </xf>
    <xf numFmtId="0" fontId="42" fillId="0" borderId="0" xfId="0" applyFont="1" applyFill="1"/>
    <xf numFmtId="0" fontId="91" fillId="0" borderId="0" xfId="0" applyFont="1"/>
    <xf numFmtId="0" fontId="94" fillId="16" borderId="4" xfId="0" applyFont="1" applyFill="1" applyBorder="1" applyAlignment="1">
      <alignment horizontal="center" vertical="center" wrapText="1"/>
    </xf>
    <xf numFmtId="0" fontId="91" fillId="0" borderId="0" xfId="0" applyFont="1" applyFill="1" applyBorder="1"/>
    <xf numFmtId="0" fontId="91" fillId="0" borderId="4" xfId="0" applyFont="1" applyBorder="1" applyAlignment="1">
      <alignment horizontal="center" vertical="center"/>
    </xf>
    <xf numFmtId="0" fontId="91" fillId="0" borderId="4" xfId="0" applyFont="1" applyBorder="1" applyAlignment="1">
      <alignment horizontal="left" vertical="center" wrapText="1"/>
    </xf>
    <xf numFmtId="4" fontId="91" fillId="0" borderId="4" xfId="0" applyNumberFormat="1" applyFont="1" applyFill="1" applyBorder="1" applyAlignment="1">
      <alignment horizontal="center" vertical="center"/>
    </xf>
    <xf numFmtId="174" fontId="91" fillId="7" borderId="0" xfId="0" applyNumberFormat="1" applyFont="1" applyFill="1"/>
    <xf numFmtId="0" fontId="91" fillId="0" borderId="0" xfId="0" applyFont="1" applyFill="1"/>
    <xf numFmtId="0" fontId="71" fillId="0" borderId="4" xfId="0" applyFont="1" applyBorder="1" applyAlignment="1">
      <alignment horizontal="left" vertical="center" wrapText="1"/>
    </xf>
    <xf numFmtId="4" fontId="91" fillId="5" borderId="4" xfId="0" applyNumberFormat="1" applyFont="1" applyFill="1" applyBorder="1" applyAlignment="1">
      <alignment horizontal="center" vertical="center"/>
    </xf>
    <xf numFmtId="164" fontId="91" fillId="0" borderId="0" xfId="0" applyNumberFormat="1" applyFont="1"/>
    <xf numFmtId="0" fontId="91" fillId="0" borderId="4" xfId="0" applyFont="1" applyFill="1" applyBorder="1" applyAlignment="1">
      <alignment vertical="center"/>
    </xf>
    <xf numFmtId="4" fontId="91" fillId="0" borderId="4" xfId="0" applyNumberFormat="1" applyFont="1" applyBorder="1" applyAlignment="1">
      <alignment horizontal="center" vertical="center"/>
    </xf>
    <xf numFmtId="4" fontId="91" fillId="7" borderId="4" xfId="0" applyNumberFormat="1" applyFont="1" applyFill="1" applyBorder="1" applyAlignment="1">
      <alignment horizontal="center" vertical="center"/>
    </xf>
    <xf numFmtId="4" fontId="74" fillId="8" borderId="4" xfId="0" applyNumberFormat="1" applyFont="1" applyFill="1" applyBorder="1" applyAlignment="1">
      <alignment horizontal="center" vertical="center"/>
    </xf>
    <xf numFmtId="174" fontId="74" fillId="0" borderId="0" xfId="0" applyNumberFormat="1" applyFont="1"/>
    <xf numFmtId="0" fontId="74" fillId="0" borderId="0" xfId="0" applyFont="1"/>
    <xf numFmtId="4" fontId="96" fillId="0" borderId="0" xfId="0" applyNumberFormat="1" applyFont="1" applyAlignment="1">
      <alignment horizontal="center" vertical="center"/>
    </xf>
    <xf numFmtId="0" fontId="96" fillId="0" borderId="0" xfId="0" applyFont="1" applyAlignment="1">
      <alignment horizontal="left" vertical="center"/>
    </xf>
    <xf numFmtId="2" fontId="91" fillId="0" borderId="0" xfId="0" applyNumberFormat="1" applyFont="1" applyAlignment="1">
      <alignment horizontal="center" vertical="center"/>
    </xf>
    <xf numFmtId="0" fontId="96" fillId="0" borderId="0" xfId="0" applyFont="1" applyAlignment="1">
      <alignment horizontal="center" vertical="center"/>
    </xf>
    <xf numFmtId="0" fontId="91" fillId="0" borderId="0" xfId="0" applyFont="1" applyAlignment="1">
      <alignment horizontal="right" vertical="center"/>
    </xf>
    <xf numFmtId="0" fontId="91" fillId="0" borderId="0" xfId="0" applyFont="1" applyAlignment="1">
      <alignment horizontal="center" vertical="center"/>
    </xf>
    <xf numFmtId="0" fontId="91" fillId="0" borderId="0" xfId="0" applyFont="1" applyAlignment="1">
      <alignment horizontal="left" vertical="center"/>
    </xf>
    <xf numFmtId="3" fontId="17" fillId="0" borderId="3" xfId="0" applyNumberFormat="1" applyFont="1" applyFill="1" applyBorder="1" applyAlignment="1">
      <alignment horizontal="center" vertical="center" wrapText="1"/>
    </xf>
    <xf numFmtId="0" fontId="91" fillId="0" borderId="4" xfId="0" applyFont="1" applyBorder="1" applyAlignment="1">
      <alignment horizontal="right" vertical="center" wrapText="1"/>
    </xf>
    <xf numFmtId="0" fontId="46" fillId="0" borderId="0" xfId="4" applyFont="1"/>
    <xf numFmtId="0" fontId="37" fillId="0" borderId="42" xfId="4" applyFont="1" applyBorder="1" applyAlignment="1">
      <alignment horizontal="left"/>
    </xf>
    <xf numFmtId="3" fontId="45" fillId="0" borderId="4" xfId="4" applyNumberFormat="1" applyFont="1" applyBorder="1"/>
    <xf numFmtId="4" fontId="45" fillId="0" borderId="4" xfId="4" applyNumberFormat="1" applyFont="1" applyBorder="1"/>
    <xf numFmtId="0" fontId="45" fillId="0" borderId="4" xfId="4" applyFont="1" applyBorder="1" applyAlignment="1">
      <alignment horizontal="right"/>
    </xf>
    <xf numFmtId="0" fontId="91" fillId="0" borderId="4" xfId="0" applyFont="1" applyFill="1" applyBorder="1" applyAlignment="1">
      <alignment vertical="center" wrapText="1"/>
    </xf>
    <xf numFmtId="173" fontId="98" fillId="19" borderId="92" xfId="0" applyNumberFormat="1" applyFont="1" applyFill="1" applyBorder="1" applyAlignment="1">
      <alignment horizontal="center" vertical="center"/>
    </xf>
    <xf numFmtId="4" fontId="98" fillId="19" borderId="92" xfId="0" applyNumberFormat="1" applyFont="1" applyFill="1" applyBorder="1" applyAlignment="1">
      <alignment horizontal="center" vertical="center"/>
    </xf>
    <xf numFmtId="168" fontId="91" fillId="0" borderId="0" xfId="1" applyNumberFormat="1" applyFont="1" applyAlignment="1">
      <alignment horizontal="center" vertical="center"/>
    </xf>
    <xf numFmtId="4" fontId="91" fillId="0" borderId="0" xfId="0" applyNumberFormat="1" applyFont="1"/>
    <xf numFmtId="0" fontId="95" fillId="0" borderId="0" xfId="0" applyFont="1" applyAlignment="1">
      <alignment horizontal="left" vertical="center" wrapText="1"/>
    </xf>
    <xf numFmtId="176" fontId="37" fillId="0" borderId="0" xfId="4" applyNumberFormat="1" applyFont="1"/>
    <xf numFmtId="10" fontId="91" fillId="0" borderId="0" xfId="1" applyNumberFormat="1" applyFont="1" applyAlignment="1">
      <alignment horizontal="center" vertical="center"/>
    </xf>
    <xf numFmtId="177" fontId="98" fillId="19" borderId="92" xfId="0" applyNumberFormat="1" applyFont="1" applyFill="1" applyBorder="1" applyAlignment="1">
      <alignment horizontal="center" vertical="center"/>
    </xf>
    <xf numFmtId="0" fontId="80" fillId="0" borderId="0" xfId="0" applyFont="1" applyFill="1" applyBorder="1" applyAlignment="1">
      <alignment horizontal="center" vertical="center"/>
    </xf>
    <xf numFmtId="0" fontId="0" fillId="0" borderId="0" xfId="0" applyFill="1" applyBorder="1"/>
    <xf numFmtId="0" fontId="33" fillId="0" borderId="0" xfId="0" applyFont="1" applyFill="1" applyBorder="1" applyAlignment="1" applyProtection="1">
      <alignment horizontal="center" vertical="center"/>
    </xf>
    <xf numFmtId="0" fontId="21" fillId="3" borderId="4" xfId="0" applyFont="1" applyFill="1" applyBorder="1" applyAlignment="1" applyProtection="1">
      <alignment horizontal="center" vertical="center"/>
    </xf>
    <xf numFmtId="0" fontId="27" fillId="0" borderId="4" xfId="0" applyFont="1" applyFill="1" applyBorder="1" applyAlignment="1">
      <alignment horizontal="center" vertical="center"/>
    </xf>
    <xf numFmtId="2" fontId="27" fillId="0" borderId="4" xfId="0" applyNumberFormat="1"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xf>
    <xf numFmtId="10" fontId="0" fillId="0" borderId="0" xfId="1" applyNumberFormat="1" applyFont="1" applyFill="1" applyBorder="1"/>
    <xf numFmtId="0" fontId="0" fillId="0" borderId="0" xfId="0" applyFill="1" applyBorder="1" applyAlignment="1">
      <alignment horizontal="center"/>
    </xf>
    <xf numFmtId="0" fontId="0" fillId="0" borderId="0" xfId="0" applyNumberFormat="1" applyFill="1" applyBorder="1"/>
    <xf numFmtId="9" fontId="0" fillId="0" borderId="0" xfId="1" applyFont="1" applyFill="1" applyBorder="1"/>
    <xf numFmtId="4" fontId="88" fillId="0" borderId="0" xfId="0" applyNumberFormat="1" applyFont="1" applyFill="1" applyBorder="1" applyAlignment="1">
      <alignment horizontal="center" vertical="center" wrapText="1"/>
    </xf>
    <xf numFmtId="0" fontId="88" fillId="0" borderId="0" xfId="0" applyFont="1" applyFill="1" applyBorder="1" applyAlignment="1">
      <alignment horizontal="center" vertical="center" wrapText="1"/>
    </xf>
    <xf numFmtId="10" fontId="0" fillId="0" borderId="0" xfId="0" applyNumberFormat="1" applyFill="1" applyBorder="1" applyAlignment="1">
      <alignment horizontal="center"/>
    </xf>
    <xf numFmtId="1" fontId="37" fillId="0" borderId="4" xfId="0" applyNumberFormat="1" applyFont="1" applyFill="1" applyBorder="1" applyAlignment="1" applyProtection="1">
      <alignment horizontal="center" vertical="center"/>
      <protection locked="0"/>
    </xf>
    <xf numFmtId="2" fontId="21" fillId="0" borderId="4" xfId="0" applyNumberFormat="1" applyFont="1" applyFill="1" applyBorder="1" applyAlignment="1" applyProtection="1">
      <alignment horizontal="center" vertical="center"/>
      <protection locked="0"/>
    </xf>
    <xf numFmtId="0" fontId="26" fillId="3" borderId="4" xfId="0" applyFont="1" applyFill="1" applyBorder="1" applyAlignment="1" applyProtection="1">
      <alignment horizontal="center" vertical="center"/>
    </xf>
    <xf numFmtId="0" fontId="28" fillId="3" borderId="4" xfId="0" applyFont="1" applyFill="1" applyBorder="1" applyAlignment="1" applyProtection="1">
      <alignment horizontal="center" vertical="center" wrapText="1"/>
    </xf>
    <xf numFmtId="0" fontId="26" fillId="3" borderId="4" xfId="0" applyFont="1" applyFill="1" applyBorder="1" applyAlignment="1" applyProtection="1">
      <alignment horizontal="center" vertical="center" wrapText="1"/>
    </xf>
    <xf numFmtId="10" fontId="21" fillId="0" borderId="4" xfId="1" applyNumberFormat="1" applyFont="1" applyFill="1" applyBorder="1" applyAlignment="1" applyProtection="1">
      <alignment horizontal="center" vertical="center"/>
      <protection locked="0"/>
    </xf>
    <xf numFmtId="0" fontId="21" fillId="3" borderId="14" xfId="0" applyFont="1" applyFill="1" applyBorder="1" applyAlignment="1" applyProtection="1">
      <alignment horizontal="center" vertical="center" wrapText="1"/>
    </xf>
    <xf numFmtId="0" fontId="72" fillId="0" borderId="14" xfId="0" applyFont="1" applyFill="1" applyBorder="1" applyAlignment="1" applyProtection="1">
      <alignment horizontal="center" vertical="center" wrapText="1"/>
      <protection locked="0"/>
    </xf>
    <xf numFmtId="0" fontId="72"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168" fontId="35" fillId="0" borderId="0" xfId="0" applyNumberFormat="1" applyFont="1" applyFill="1" applyBorder="1" applyAlignment="1" applyProtection="1">
      <alignment horizontal="center" vertical="center"/>
      <protection locked="0"/>
    </xf>
    <xf numFmtId="166" fontId="35" fillId="0" borderId="0" xfId="2" applyNumberFormat="1" applyFont="1" applyFill="1" applyBorder="1" applyAlignment="1" applyProtection="1">
      <alignment horizontal="center" vertical="center"/>
      <protection locked="0"/>
    </xf>
    <xf numFmtId="2" fontId="35" fillId="0" borderId="0" xfId="0" applyNumberFormat="1" applyFont="1" applyFill="1" applyBorder="1" applyAlignment="1" applyProtection="1">
      <alignment horizontal="center" vertical="center"/>
      <protection locked="0"/>
    </xf>
    <xf numFmtId="1" fontId="35" fillId="0" borderId="0" xfId="0" applyNumberFormat="1" applyFont="1" applyFill="1" applyBorder="1" applyAlignment="1" applyProtection="1">
      <alignment horizontal="center" vertical="center"/>
      <protection locked="0"/>
    </xf>
    <xf numFmtId="0" fontId="52" fillId="0" borderId="0" xfId="0" applyFont="1" applyFill="1" applyBorder="1"/>
    <xf numFmtId="2" fontId="0" fillId="0" borderId="45" xfId="0" applyNumberFormat="1" applyFill="1" applyBorder="1" applyAlignment="1">
      <alignment horizontal="center" vertical="center"/>
    </xf>
    <xf numFmtId="2" fontId="0" fillId="0" borderId="44" xfId="0" applyNumberFormat="1" applyFill="1" applyBorder="1" applyAlignment="1">
      <alignment horizontal="center" vertical="center"/>
    </xf>
    <xf numFmtId="0" fontId="46" fillId="0" borderId="0" xfId="0" applyFont="1" applyFill="1" applyBorder="1" applyAlignment="1" applyProtection="1">
      <alignment horizontal="left" vertical="top"/>
      <protection locked="0"/>
    </xf>
    <xf numFmtId="0" fontId="8" fillId="2" borderId="4" xfId="0" applyFont="1" applyFill="1" applyBorder="1" applyAlignment="1" applyProtection="1">
      <alignment horizontal="left" vertical="center"/>
    </xf>
    <xf numFmtId="0" fontId="0" fillId="0" borderId="0" xfId="0" applyFill="1" applyAlignment="1" applyProtection="1">
      <alignment horizontal="left"/>
      <protection locked="0"/>
    </xf>
    <xf numFmtId="0" fontId="8" fillId="0" borderId="4" xfId="0" applyFont="1" applyFill="1" applyBorder="1" applyAlignment="1" applyProtection="1">
      <alignment horizontal="left" vertical="center" wrapText="1"/>
    </xf>
    <xf numFmtId="0" fontId="42" fillId="0" borderId="0" xfId="0" applyFont="1" applyFill="1" applyAlignment="1" applyProtection="1">
      <alignment horizontal="left"/>
      <protection locked="0"/>
    </xf>
    <xf numFmtId="0" fontId="9" fillId="0" borderId="4" xfId="0" applyFont="1" applyFill="1" applyBorder="1" applyAlignment="1" applyProtection="1">
      <alignment horizontal="left" vertical="center"/>
    </xf>
    <xf numFmtId="0" fontId="9" fillId="0" borderId="4" xfId="0" applyFont="1" applyFill="1" applyBorder="1" applyAlignment="1" applyProtection="1">
      <alignment horizontal="left" vertical="center" wrapText="1"/>
    </xf>
    <xf numFmtId="2" fontId="103" fillId="0" borderId="4" xfId="0" applyNumberFormat="1" applyFont="1" applyFill="1" applyBorder="1" applyAlignment="1">
      <alignment horizontal="center" vertical="center" wrapText="1"/>
    </xf>
    <xf numFmtId="2" fontId="85" fillId="0" borderId="4" xfId="0" applyNumberFormat="1" applyFont="1" applyFill="1" applyBorder="1" applyAlignment="1">
      <alignment horizontal="center" vertical="center" wrapText="1"/>
    </xf>
    <xf numFmtId="4" fontId="85" fillId="0" borderId="9" xfId="0" applyNumberFormat="1" applyFont="1" applyFill="1" applyBorder="1" applyAlignment="1">
      <alignment horizontal="center" vertical="center" wrapText="1"/>
    </xf>
    <xf numFmtId="2" fontId="103" fillId="0" borderId="9" xfId="0" applyNumberFormat="1" applyFont="1" applyFill="1" applyBorder="1" applyAlignment="1">
      <alignment horizontal="center" vertical="center" wrapText="1"/>
    </xf>
    <xf numFmtId="2" fontId="85" fillId="0" borderId="9" xfId="0" applyNumberFormat="1" applyFont="1" applyFill="1" applyBorder="1" applyAlignment="1">
      <alignment horizontal="center" vertical="center" wrapText="1"/>
    </xf>
    <xf numFmtId="164" fontId="0" fillId="0" borderId="0" xfId="0" applyNumberFormat="1" applyFill="1" applyProtection="1">
      <protection locked="0"/>
    </xf>
    <xf numFmtId="178" fontId="37" fillId="0" borderId="0" xfId="4" applyNumberFormat="1" applyFont="1"/>
    <xf numFmtId="0" fontId="89" fillId="0" borderId="0" xfId="4" applyFont="1"/>
    <xf numFmtId="164" fontId="89" fillId="0" borderId="0" xfId="2" applyFont="1"/>
    <xf numFmtId="164" fontId="37" fillId="0" borderId="0" xfId="4" applyNumberFormat="1" applyFont="1"/>
    <xf numFmtId="179" fontId="89" fillId="0" borderId="0" xfId="1" applyNumberFormat="1" applyFont="1"/>
    <xf numFmtId="10" fontId="89" fillId="0" borderId="0" xfId="1" applyNumberFormat="1" applyFont="1"/>
    <xf numFmtId="10" fontId="0" fillId="0" borderId="0" xfId="0" applyNumberFormat="1"/>
    <xf numFmtId="0" fontId="90" fillId="0" borderId="0" xfId="0" applyFont="1" applyFill="1" applyAlignment="1">
      <alignment horizontal="left" wrapText="1"/>
    </xf>
    <xf numFmtId="0" fontId="104" fillId="0" borderId="0" xfId="0" applyFont="1"/>
    <xf numFmtId="2" fontId="25" fillId="0" borderId="0" xfId="1" applyNumberFormat="1" applyFont="1" applyFill="1" applyBorder="1" applyAlignment="1">
      <alignment horizontal="right" wrapText="1"/>
    </xf>
    <xf numFmtId="0" fontId="80" fillId="0" borderId="4" xfId="0" applyFont="1" applyFill="1" applyBorder="1" applyAlignment="1">
      <alignment horizontal="center" vertical="center"/>
    </xf>
    <xf numFmtId="0" fontId="80" fillId="0" borderId="4" xfId="0" applyFont="1" applyFill="1" applyBorder="1" applyAlignment="1">
      <alignment horizontal="center" vertical="center" wrapText="1"/>
    </xf>
    <xf numFmtId="0" fontId="90" fillId="0" borderId="0" xfId="0" applyFont="1" applyFill="1" applyBorder="1" applyAlignment="1">
      <alignment horizontal="left" wrapText="1"/>
    </xf>
    <xf numFmtId="0" fontId="8" fillId="0" borderId="31" xfId="0" applyFont="1" applyFill="1" applyBorder="1" applyAlignment="1" applyProtection="1">
      <protection locked="0"/>
    </xf>
    <xf numFmtId="0" fontId="80" fillId="0" borderId="0" xfId="0" applyFont="1" applyFill="1" applyBorder="1" applyAlignment="1">
      <alignment horizontal="left" wrapText="1"/>
    </xf>
    <xf numFmtId="10" fontId="87" fillId="0" borderId="0" xfId="0" applyNumberFormat="1" applyFont="1" applyFill="1" applyBorder="1" applyAlignment="1">
      <alignment horizontal="center" vertical="center" wrapText="1"/>
    </xf>
    <xf numFmtId="0" fontId="87" fillId="0" borderId="0" xfId="0" applyNumberFormat="1" applyFont="1" applyFill="1" applyBorder="1" applyAlignment="1">
      <alignment horizontal="center" vertical="center" wrapText="1"/>
    </xf>
    <xf numFmtId="9" fontId="0" fillId="0" borderId="0" xfId="1" applyFont="1"/>
    <xf numFmtId="180" fontId="0" fillId="0" borderId="0" xfId="0" applyNumberFormat="1" applyFill="1" applyProtection="1">
      <protection locked="0"/>
    </xf>
    <xf numFmtId="179" fontId="0" fillId="0" borderId="0" xfId="1" applyNumberFormat="1" applyFont="1" applyFill="1" applyProtection="1">
      <protection locked="0"/>
    </xf>
    <xf numFmtId="0" fontId="37" fillId="0" borderId="4" xfId="0" applyFont="1" applyFill="1" applyBorder="1" applyAlignment="1" applyProtection="1">
      <alignment horizontal="center" vertical="center"/>
      <protection locked="0"/>
    </xf>
    <xf numFmtId="0" fontId="37" fillId="4" borderId="4" xfId="0" applyFont="1" applyFill="1" applyBorder="1" applyAlignment="1" applyProtection="1">
      <alignment horizontal="center" vertical="center"/>
      <protection locked="0"/>
    </xf>
    <xf numFmtId="0" fontId="45" fillId="0" borderId="0" xfId="0" applyFont="1" applyFill="1" applyBorder="1" applyAlignment="1" applyProtection="1">
      <alignment horizontal="left" vertical="center"/>
      <protection locked="0"/>
    </xf>
    <xf numFmtId="0" fontId="37" fillId="0" borderId="0" xfId="0" applyFont="1" applyFill="1" applyBorder="1" applyAlignment="1" applyProtection="1">
      <alignment horizontal="left" vertical="center"/>
      <protection locked="0"/>
    </xf>
    <xf numFmtId="0" fontId="28" fillId="0" borderId="9" xfId="0" applyFont="1" applyFill="1" applyBorder="1" applyAlignment="1" applyProtection="1">
      <alignment horizontal="center" vertical="center" wrapText="1"/>
      <protection locked="0"/>
    </xf>
    <xf numFmtId="0" fontId="27" fillId="0" borderId="4" xfId="0" applyFont="1" applyFill="1" applyBorder="1" applyAlignment="1">
      <alignment horizontal="center" vertical="center" wrapText="1"/>
    </xf>
    <xf numFmtId="0" fontId="28" fillId="0" borderId="4" xfId="0" applyFont="1" applyFill="1" applyBorder="1" applyAlignment="1" applyProtection="1">
      <alignment horizontal="center" vertical="center" wrapText="1"/>
      <protection locked="0"/>
    </xf>
    <xf numFmtId="0" fontId="27" fillId="0" borderId="4" xfId="0" applyFont="1" applyFill="1" applyBorder="1" applyAlignment="1">
      <alignment horizontal="center" vertical="center"/>
    </xf>
    <xf numFmtId="2" fontId="27" fillId="0" borderId="4" xfId="0" applyNumberFormat="1" applyFont="1" applyFill="1" applyBorder="1" applyAlignment="1" applyProtection="1">
      <alignment horizontal="center" vertical="center"/>
      <protection locked="0"/>
    </xf>
    <xf numFmtId="0" fontId="27" fillId="0" borderId="4" xfId="0" applyFont="1" applyFill="1" applyBorder="1" applyAlignment="1" applyProtection="1">
      <alignment horizontal="center" vertical="center" wrapText="1"/>
      <protection locked="0"/>
    </xf>
    <xf numFmtId="49" fontId="29" fillId="3" borderId="4" xfId="0" applyNumberFormat="1" applyFont="1" applyFill="1" applyBorder="1" applyAlignment="1" applyProtection="1">
      <alignment horizontal="center" vertical="center" wrapText="1"/>
    </xf>
    <xf numFmtId="49" fontId="29" fillId="0" borderId="0" xfId="0" applyNumberFormat="1" applyFont="1" applyFill="1" applyBorder="1" applyAlignment="1" applyProtection="1">
      <alignment horizontal="center" vertical="center" wrapText="1"/>
      <protection locked="0"/>
    </xf>
    <xf numFmtId="0" fontId="21" fillId="0" borderId="4" xfId="0" applyFont="1" applyFill="1" applyBorder="1" applyAlignment="1" applyProtection="1">
      <alignment horizontal="center" vertical="center" wrapText="1"/>
      <protection locked="0"/>
    </xf>
    <xf numFmtId="0" fontId="75" fillId="0" borderId="4" xfId="0" applyFont="1" applyFill="1" applyBorder="1" applyAlignment="1" applyProtection="1">
      <alignment horizontal="center" vertical="center" wrapText="1"/>
      <protection locked="0"/>
    </xf>
    <xf numFmtId="49" fontId="29" fillId="0" borderId="9" xfId="0" applyNumberFormat="1" applyFont="1" applyFill="1" applyBorder="1" applyAlignment="1" applyProtection="1">
      <alignment horizontal="center" vertical="center" wrapText="1"/>
      <protection locked="0"/>
    </xf>
    <xf numFmtId="49" fontId="29" fillId="0" borderId="4" xfId="0" applyNumberFormat="1" applyFont="1" applyFill="1" applyBorder="1" applyAlignment="1" applyProtection="1">
      <alignment horizontal="center" vertical="center" wrapText="1"/>
      <protection locked="0"/>
    </xf>
    <xf numFmtId="0" fontId="27" fillId="0" borderId="4" xfId="0" applyFont="1" applyFill="1" applyBorder="1" applyAlignment="1">
      <alignment wrapText="1"/>
    </xf>
    <xf numFmtId="0" fontId="27" fillId="0" borderId="4" xfId="0" applyFont="1" applyFill="1" applyBorder="1"/>
    <xf numFmtId="0" fontId="27" fillId="0" borderId="4" xfId="0" applyFont="1" applyFill="1" applyBorder="1" applyAlignment="1">
      <alignment vertical="top" wrapText="1"/>
    </xf>
    <xf numFmtId="0" fontId="27" fillId="0" borderId="4" xfId="0" applyFont="1" applyFill="1" applyBorder="1" applyAlignment="1">
      <alignment vertical="top"/>
    </xf>
    <xf numFmtId="0" fontId="27" fillId="0" borderId="4" xfId="0" applyFont="1" applyFill="1" applyBorder="1" applyAlignment="1">
      <alignment horizontal="center" vertical="top"/>
    </xf>
    <xf numFmtId="0" fontId="27" fillId="0" borderId="4" xfId="0" applyFont="1" applyBorder="1" applyAlignment="1">
      <alignment wrapText="1"/>
    </xf>
    <xf numFmtId="0" fontId="27" fillId="0" borderId="4" xfId="0" applyFont="1" applyBorder="1" applyAlignment="1">
      <alignment horizontal="center" vertical="center"/>
    </xf>
    <xf numFmtId="0" fontId="27" fillId="4" borderId="9" xfId="0" applyFont="1" applyFill="1" applyBorder="1" applyAlignment="1" applyProtection="1">
      <alignment horizontal="center" vertical="center"/>
      <protection locked="0"/>
    </xf>
    <xf numFmtId="0" fontId="27" fillId="0" borderId="4" xfId="0" applyFont="1" applyFill="1" applyBorder="1" applyAlignment="1">
      <alignment vertical="center" wrapText="1"/>
    </xf>
    <xf numFmtId="0" fontId="27" fillId="4" borderId="4" xfId="0" applyFont="1" applyFill="1" applyBorder="1"/>
    <xf numFmtId="0" fontId="27" fillId="0" borderId="4" xfId="0" applyFont="1" applyBorder="1" applyAlignment="1">
      <alignment vertical="center" wrapText="1"/>
    </xf>
    <xf numFmtId="0" fontId="27" fillId="0" borderId="4" xfId="0" applyFont="1" applyBorder="1" applyAlignment="1">
      <alignment vertical="center"/>
    </xf>
    <xf numFmtId="0" fontId="28" fillId="4" borderId="3" xfId="0" applyFont="1" applyFill="1" applyBorder="1" applyAlignment="1">
      <alignment horizontal="center" vertical="center"/>
    </xf>
    <xf numFmtId="0" fontId="27" fillId="4" borderId="15" xfId="0" applyFont="1" applyFill="1" applyBorder="1" applyAlignment="1">
      <alignment horizontal="center" vertical="center"/>
    </xf>
    <xf numFmtId="0" fontId="72" fillId="4" borderId="15" xfId="0" applyFont="1" applyFill="1" applyBorder="1" applyAlignment="1">
      <alignment horizontal="center" vertical="center"/>
    </xf>
    <xf numFmtId="0" fontId="37" fillId="0" borderId="4" xfId="0" applyFont="1" applyFill="1" applyBorder="1" applyAlignment="1" applyProtection="1">
      <alignment horizontal="center" vertical="center"/>
      <protection locked="0"/>
    </xf>
    <xf numFmtId="0" fontId="37" fillId="4" borderId="4" xfId="0" applyFont="1" applyFill="1" applyBorder="1" applyAlignment="1" applyProtection="1">
      <alignment horizontal="center" vertical="center"/>
      <protection locked="0"/>
    </xf>
    <xf numFmtId="0" fontId="37" fillId="0" borderId="4" xfId="0" applyFont="1" applyFill="1" applyBorder="1" applyAlignment="1" applyProtection="1">
      <alignment horizontal="center" vertical="center" wrapText="1"/>
      <protection locked="0"/>
    </xf>
    <xf numFmtId="10" fontId="37" fillId="0" borderId="0" xfId="1" applyNumberFormat="1" applyFont="1"/>
    <xf numFmtId="10" fontId="35" fillId="0" borderId="4" xfId="5" applyNumberFormat="1" applyFont="1" applyBorder="1" applyAlignment="1">
      <alignment horizontal="center" vertical="center"/>
    </xf>
    <xf numFmtId="172" fontId="37" fillId="0" borderId="0" xfId="0" applyNumberFormat="1" applyFont="1" applyAlignment="1">
      <alignment horizontal="center" vertical="center"/>
    </xf>
    <xf numFmtId="164" fontId="37" fillId="4" borderId="0" xfId="2" applyFont="1" applyFill="1" applyBorder="1" applyAlignment="1" applyProtection="1">
      <alignment horizontal="center" vertical="center"/>
      <protection locked="0"/>
    </xf>
    <xf numFmtId="2" fontId="38" fillId="0" borderId="0" xfId="0" applyNumberFormat="1" applyFont="1" applyFill="1" applyBorder="1" applyAlignment="1" applyProtection="1">
      <alignment horizontal="center" vertical="center" wrapText="1"/>
      <protection locked="0"/>
    </xf>
    <xf numFmtId="0" fontId="27" fillId="0" borderId="15" xfId="0" applyFont="1" applyFill="1" applyBorder="1" applyAlignment="1">
      <alignment vertical="center" wrapText="1"/>
    </xf>
    <xf numFmtId="0" fontId="27" fillId="4" borderId="15" xfId="0" applyFont="1" applyFill="1" applyBorder="1" applyAlignment="1">
      <alignment horizontal="center" vertical="center"/>
    </xf>
    <xf numFmtId="0" fontId="27" fillId="0" borderId="15" xfId="0" applyFont="1" applyFill="1" applyBorder="1" applyAlignment="1">
      <alignment horizontal="center" vertical="center" wrapText="1"/>
    </xf>
    <xf numFmtId="0" fontId="37" fillId="0" borderId="4" xfId="0" applyFont="1" applyFill="1" applyBorder="1" applyAlignment="1" applyProtection="1">
      <alignment horizontal="center" vertical="center"/>
      <protection locked="0"/>
    </xf>
    <xf numFmtId="9" fontId="46" fillId="0" borderId="4" xfId="5" applyFont="1" applyFill="1" applyBorder="1"/>
    <xf numFmtId="0" fontId="44" fillId="0" borderId="4" xfId="4" applyFont="1" applyFill="1" applyBorder="1"/>
    <xf numFmtId="0" fontId="39" fillId="3" borderId="4" xfId="4" applyFont="1" applyFill="1" applyBorder="1"/>
    <xf numFmtId="0" fontId="15" fillId="0" borderId="4" xfId="0" applyFont="1" applyFill="1" applyBorder="1" applyAlignment="1">
      <alignment horizontal="justify" vertical="center" wrapText="1"/>
    </xf>
    <xf numFmtId="3" fontId="107" fillId="0" borderId="0" xfId="0" applyNumberFormat="1" applyFont="1" applyAlignment="1">
      <alignment horizontal="center" vertical="center"/>
    </xf>
    <xf numFmtId="3" fontId="91" fillId="0" borderId="0" xfId="0" applyNumberFormat="1" applyFont="1" applyAlignment="1">
      <alignment horizontal="center" vertical="center"/>
    </xf>
    <xf numFmtId="0" fontId="74" fillId="10" borderId="4" xfId="0" applyFont="1" applyFill="1" applyBorder="1" applyAlignment="1">
      <alignment horizontal="center" vertical="center" wrapText="1"/>
    </xf>
    <xf numFmtId="4" fontId="71" fillId="0" borderId="4" xfId="0" applyNumberFormat="1" applyFont="1" applyFill="1" applyBorder="1" applyAlignment="1">
      <alignment horizontal="center" vertical="center"/>
    </xf>
    <xf numFmtId="4" fontId="71" fillId="8" borderId="4" xfId="0" applyNumberFormat="1" applyFont="1" applyFill="1" applyBorder="1" applyAlignment="1">
      <alignment horizontal="center" vertical="center"/>
    </xf>
    <xf numFmtId="2" fontId="71" fillId="0" borderId="4" xfId="0" applyNumberFormat="1" applyFont="1" applyFill="1" applyBorder="1" applyAlignment="1">
      <alignment horizontal="center" vertical="center"/>
    </xf>
    <xf numFmtId="0" fontId="71" fillId="0" borderId="4" xfId="0" applyFont="1" applyBorder="1" applyAlignment="1">
      <alignment wrapText="1"/>
    </xf>
    <xf numFmtId="10" fontId="0" fillId="0" borderId="4" xfId="2" applyNumberFormat="1" applyFont="1" applyFill="1" applyBorder="1" applyAlignment="1" applyProtection="1">
      <alignment vertical="center"/>
      <protection locked="0"/>
    </xf>
    <xf numFmtId="0" fontId="89" fillId="0" borderId="4" xfId="0" applyFont="1" applyFill="1" applyBorder="1" applyAlignment="1">
      <alignment horizontal="left" vertical="center" wrapText="1"/>
    </xf>
    <xf numFmtId="0" fontId="14" fillId="3" borderId="4" xfId="0" applyFont="1" applyFill="1" applyBorder="1" applyAlignment="1">
      <alignment horizontal="center" vertical="center" wrapText="1"/>
    </xf>
    <xf numFmtId="165" fontId="108" fillId="0" borderId="4" xfId="0" applyNumberFormat="1" applyFont="1" applyFill="1" applyBorder="1" applyAlignment="1">
      <alignment horizontal="center" vertical="center"/>
    </xf>
    <xf numFmtId="0" fontId="110" fillId="0" borderId="0" xfId="0" applyFont="1"/>
    <xf numFmtId="0" fontId="110" fillId="0" borderId="0" xfId="0" applyFont="1" applyFill="1"/>
    <xf numFmtId="2" fontId="110" fillId="0" borderId="0" xfId="0" applyNumberFormat="1" applyFont="1"/>
    <xf numFmtId="0" fontId="110" fillId="0" borderId="0" xfId="0" applyFont="1" applyFill="1" applyBorder="1"/>
    <xf numFmtId="0" fontId="110" fillId="0" borderId="42" xfId="0" applyFont="1" applyFill="1" applyBorder="1" applyAlignment="1">
      <alignment horizontal="center" vertical="center"/>
    </xf>
    <xf numFmtId="0" fontId="110" fillId="0" borderId="4" xfId="0" applyFont="1" applyFill="1" applyBorder="1" applyAlignment="1">
      <alignment horizontal="left" vertical="center" wrapText="1"/>
    </xf>
    <xf numFmtId="175" fontId="110" fillId="17" borderId="0" xfId="0" applyNumberFormat="1" applyFont="1" applyFill="1" applyAlignment="1">
      <alignment horizontal="center" vertical="center"/>
    </xf>
    <xf numFmtId="2" fontId="108" fillId="0" borderId="4" xfId="0" applyNumberFormat="1" applyFont="1" applyFill="1" applyBorder="1" applyAlignment="1">
      <alignment horizontal="center" vertical="center"/>
    </xf>
    <xf numFmtId="164" fontId="110" fillId="18" borderId="0" xfId="0" applyNumberFormat="1" applyFont="1" applyFill="1" applyAlignment="1">
      <alignment horizontal="center" vertical="center"/>
    </xf>
    <xf numFmtId="164" fontId="110" fillId="0" borderId="0" xfId="0" applyNumberFormat="1" applyFont="1" applyAlignment="1">
      <alignment horizontal="center" vertical="center"/>
    </xf>
    <xf numFmtId="0" fontId="110" fillId="0" borderId="4" xfId="0" applyFont="1" applyFill="1" applyBorder="1" applyAlignment="1">
      <alignment horizontal="right" vertical="center" wrapText="1"/>
    </xf>
    <xf numFmtId="10" fontId="110" fillId="0" borderId="0" xfId="0" applyNumberFormat="1" applyFont="1" applyAlignment="1">
      <alignment horizontal="center" vertical="center"/>
    </xf>
    <xf numFmtId="0" fontId="108" fillId="0" borderId="42" xfId="0" applyFont="1" applyFill="1" applyBorder="1" applyAlignment="1">
      <alignment horizontal="center" vertical="center"/>
    </xf>
    <xf numFmtId="0" fontId="108" fillId="0" borderId="4" xfId="0" applyFont="1" applyFill="1" applyBorder="1" applyAlignment="1">
      <alignment horizontal="left" vertical="center" wrapText="1"/>
    </xf>
    <xf numFmtId="0" fontId="108" fillId="0" borderId="0" xfId="0" applyFont="1" applyFill="1"/>
    <xf numFmtId="0" fontId="108" fillId="0" borderId="0" xfId="0" applyFont="1"/>
    <xf numFmtId="0" fontId="108" fillId="0" borderId="4" xfId="0" applyFont="1" applyFill="1" applyBorder="1" applyAlignment="1">
      <alignment wrapText="1"/>
    </xf>
    <xf numFmtId="0" fontId="110" fillId="0" borderId="4" xfId="0" applyFont="1" applyFill="1" applyBorder="1" applyAlignment="1">
      <alignment vertical="center"/>
    </xf>
    <xf numFmtId="164" fontId="108" fillId="0" borderId="4" xfId="0" applyNumberFormat="1" applyFont="1" applyFill="1" applyBorder="1" applyAlignment="1">
      <alignment horizontal="center" vertical="center"/>
    </xf>
    <xf numFmtId="0" fontId="110" fillId="0" borderId="4" xfId="0" applyFont="1" applyFill="1" applyBorder="1" applyAlignment="1">
      <alignment vertical="center" wrapText="1"/>
    </xf>
    <xf numFmtId="2" fontId="110" fillId="0" borderId="0" xfId="0" applyNumberFormat="1" applyFont="1" applyAlignment="1">
      <alignment horizontal="center" vertical="center"/>
    </xf>
    <xf numFmtId="4" fontId="110" fillId="0" borderId="4" xfId="0" applyNumberFormat="1" applyFont="1" applyFill="1" applyBorder="1" applyAlignment="1">
      <alignment horizontal="center" vertical="center"/>
    </xf>
    <xf numFmtId="164" fontId="110" fillId="0" borderId="0" xfId="0" applyNumberFormat="1" applyFont="1"/>
    <xf numFmtId="3" fontId="74" fillId="8" borderId="4" xfId="0" applyNumberFormat="1" applyFont="1" applyFill="1" applyBorder="1" applyAlignment="1">
      <alignment horizontal="center" vertical="center"/>
    </xf>
    <xf numFmtId="4" fontId="94" fillId="8" borderId="45" xfId="0" applyNumberFormat="1" applyFont="1" applyFill="1" applyBorder="1" applyAlignment="1">
      <alignment horizontal="center" vertical="center"/>
    </xf>
    <xf numFmtId="10" fontId="87" fillId="21" borderId="4" xfId="0" applyNumberFormat="1" applyFont="1" applyFill="1" applyBorder="1" applyAlignment="1">
      <alignment horizontal="center" vertical="center" wrapText="1"/>
    </xf>
    <xf numFmtId="4" fontId="87" fillId="0" borderId="0" xfId="0" applyNumberFormat="1" applyFont="1" applyFill="1" applyBorder="1" applyAlignment="1">
      <alignment horizontal="center" vertical="center" wrapText="1"/>
    </xf>
    <xf numFmtId="2" fontId="25" fillId="21" borderId="0" xfId="1" applyNumberFormat="1" applyFont="1" applyFill="1" applyBorder="1" applyAlignment="1">
      <alignment horizontal="right" wrapText="1"/>
    </xf>
    <xf numFmtId="2" fontId="89" fillId="21" borderId="4" xfId="0" applyNumberFormat="1" applyFont="1" applyFill="1" applyBorder="1" applyAlignment="1">
      <alignment horizontal="center" vertical="center" wrapText="1"/>
    </xf>
    <xf numFmtId="4" fontId="80" fillId="21" borderId="4" xfId="0" applyNumberFormat="1" applyFont="1" applyFill="1" applyBorder="1" applyAlignment="1">
      <alignment horizontal="center" vertical="center" wrapText="1"/>
    </xf>
    <xf numFmtId="4" fontId="87" fillId="21" borderId="4" xfId="0" applyNumberFormat="1" applyFont="1" applyFill="1" applyBorder="1" applyAlignment="1">
      <alignment horizontal="center" vertical="center" wrapText="1"/>
    </xf>
    <xf numFmtId="4" fontId="85" fillId="21" borderId="9" xfId="0" applyNumberFormat="1" applyFont="1" applyFill="1" applyBorder="1" applyAlignment="1">
      <alignment horizontal="center" vertical="center" wrapText="1"/>
    </xf>
    <xf numFmtId="3" fontId="112" fillId="0" borderId="0" xfId="0" applyNumberFormat="1" applyFont="1"/>
    <xf numFmtId="10" fontId="25" fillId="21" borderId="0" xfId="1" applyNumberFormat="1" applyFont="1" applyFill="1" applyBorder="1" applyAlignment="1">
      <alignment horizontal="right" wrapText="1"/>
    </xf>
    <xf numFmtId="0" fontId="74" fillId="5" borderId="4" xfId="0" applyFont="1" applyFill="1" applyBorder="1" applyAlignment="1">
      <alignment horizontal="center" vertical="center" wrapText="1"/>
    </xf>
    <xf numFmtId="2" fontId="0" fillId="0" borderId="10" xfId="0" applyNumberFormat="1" applyBorder="1" applyAlignment="1">
      <alignment horizontal="right" vertical="center"/>
    </xf>
    <xf numFmtId="2" fontId="0" fillId="0" borderId="5" xfId="0" applyNumberFormat="1" applyBorder="1" applyAlignment="1">
      <alignment horizontal="right" vertical="center"/>
    </xf>
    <xf numFmtId="2" fontId="0" fillId="0" borderId="27" xfId="0" applyNumberFormat="1" applyBorder="1" applyAlignment="1">
      <alignment horizontal="right" vertical="center"/>
    </xf>
    <xf numFmtId="2" fontId="0" fillId="0" borderId="7" xfId="0" applyNumberFormat="1" applyBorder="1" applyAlignment="1">
      <alignment horizontal="righ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8" xfId="0" applyBorder="1" applyAlignment="1">
      <alignment horizontal="left" vertical="center"/>
    </xf>
    <xf numFmtId="0" fontId="0" fillId="0" borderId="22" xfId="0" applyBorder="1" applyAlignment="1">
      <alignment horizontal="left" vertical="center"/>
    </xf>
    <xf numFmtId="0" fontId="0" fillId="0" borderId="8" xfId="0" applyBorder="1" applyAlignment="1">
      <alignment horizontal="left" vertical="center"/>
    </xf>
    <xf numFmtId="0" fontId="0" fillId="0" borderId="17" xfId="0" applyBorder="1" applyAlignment="1">
      <alignment horizontal="left" vertical="center"/>
    </xf>
    <xf numFmtId="0" fontId="0" fillId="0" borderId="20" xfId="0" applyBorder="1" applyAlignment="1">
      <alignment horizontal="left" vertical="center"/>
    </xf>
    <xf numFmtId="2" fontId="0" fillId="0" borderId="0" xfId="0" applyNumberFormat="1" applyAlignment="1">
      <alignment horizontal="right" vertical="center"/>
    </xf>
    <xf numFmtId="165" fontId="0" fillId="0" borderId="19" xfId="0" applyNumberFormat="1" applyBorder="1" applyAlignment="1">
      <alignment horizontal="center" vertical="center"/>
    </xf>
    <xf numFmtId="165" fontId="0" fillId="0" borderId="3" xfId="0" applyNumberFormat="1" applyBorder="1" applyAlignment="1">
      <alignment horizontal="center" vertical="center"/>
    </xf>
    <xf numFmtId="165" fontId="0" fillId="0" borderId="9" xfId="0" applyNumberFormat="1" applyBorder="1" applyAlignment="1">
      <alignment horizontal="center" vertical="center"/>
    </xf>
    <xf numFmtId="165" fontId="0" fillId="0" borderId="15" xfId="0" applyNumberFormat="1" applyBorder="1" applyAlignment="1">
      <alignment horizontal="center" vertical="center"/>
    </xf>
    <xf numFmtId="165" fontId="0" fillId="0" borderId="21" xfId="0" applyNumberFormat="1" applyBorder="1" applyAlignment="1">
      <alignment horizontal="center" vertical="center"/>
    </xf>
    <xf numFmtId="0" fontId="63" fillId="0" borderId="76" xfId="0" applyFont="1" applyBorder="1" applyAlignment="1">
      <alignment horizontal="center" vertical="center" wrapText="1"/>
    </xf>
    <xf numFmtId="0" fontId="63" fillId="0" borderId="80" xfId="0" applyFont="1" applyBorder="1" applyAlignment="1">
      <alignment horizontal="center" vertical="center" wrapText="1"/>
    </xf>
    <xf numFmtId="0" fontId="63" fillId="0" borderId="85" xfId="0" applyFont="1" applyBorder="1" applyAlignment="1">
      <alignment horizontal="center" vertical="center" wrapText="1"/>
    </xf>
    <xf numFmtId="0" fontId="63" fillId="0" borderId="77" xfId="0" applyFont="1" applyBorder="1" applyAlignment="1">
      <alignment horizontal="center" vertical="center" wrapText="1"/>
    </xf>
    <xf numFmtId="0" fontId="63" fillId="0" borderId="78" xfId="0" applyFont="1" applyBorder="1" applyAlignment="1">
      <alignment horizontal="center" vertical="center" wrapText="1"/>
    </xf>
    <xf numFmtId="0" fontId="63" fillId="0" borderId="79" xfId="0" applyFont="1" applyBorder="1" applyAlignment="1">
      <alignment horizontal="center" vertical="center" wrapText="1"/>
    </xf>
    <xf numFmtId="0" fontId="63" fillId="0" borderId="81" xfId="0" applyFont="1" applyBorder="1" applyAlignment="1">
      <alignment horizontal="center" vertical="center" wrapText="1"/>
    </xf>
    <xf numFmtId="0" fontId="63" fillId="0" borderId="82" xfId="0" applyFont="1" applyBorder="1" applyAlignment="1">
      <alignment horizontal="center" vertical="center" wrapText="1"/>
    </xf>
    <xf numFmtId="0" fontId="63" fillId="0" borderId="83" xfId="0" applyFont="1" applyBorder="1" applyAlignment="1">
      <alignment vertical="center" wrapText="1"/>
    </xf>
    <xf numFmtId="0" fontId="63" fillId="0" borderId="84" xfId="0" applyFont="1" applyBorder="1" applyAlignment="1">
      <alignment vertical="center" wrapText="1"/>
    </xf>
    <xf numFmtId="0" fontId="63" fillId="0" borderId="76" xfId="0" applyFont="1" applyBorder="1" applyAlignment="1">
      <alignment vertical="center" wrapText="1"/>
    </xf>
    <xf numFmtId="0" fontId="63" fillId="0" borderId="80" xfId="0" applyFont="1" applyBorder="1" applyAlignment="1">
      <alignment vertical="center" wrapText="1"/>
    </xf>
    <xf numFmtId="0" fontId="63" fillId="0" borderId="85" xfId="0" applyFont="1" applyBorder="1" applyAlignment="1">
      <alignment vertical="center" wrapText="1"/>
    </xf>
    <xf numFmtId="0" fontId="63" fillId="0" borderId="83" xfId="0" applyFont="1" applyBorder="1" applyAlignment="1">
      <alignment horizontal="center" vertical="center" wrapText="1"/>
    </xf>
    <xf numFmtId="0" fontId="63" fillId="0" borderId="84" xfId="0" applyFont="1" applyBorder="1" applyAlignment="1">
      <alignment horizontal="center" vertical="center" wrapText="1"/>
    </xf>
    <xf numFmtId="0" fontId="45" fillId="0" borderId="76" xfId="0" applyFont="1" applyBorder="1" applyAlignment="1">
      <alignment vertical="center" wrapText="1"/>
    </xf>
    <xf numFmtId="0" fontId="45" fillId="0" borderId="80" xfId="0" applyFont="1" applyBorder="1" applyAlignment="1">
      <alignment vertical="center" wrapText="1"/>
    </xf>
    <xf numFmtId="0" fontId="45" fillId="0" borderId="85" xfId="0" applyFont="1" applyBorder="1" applyAlignment="1">
      <alignment vertical="center" wrapText="1"/>
    </xf>
    <xf numFmtId="0" fontId="45" fillId="0" borderId="81" xfId="0" applyFont="1" applyBorder="1" applyAlignment="1">
      <alignment horizontal="center" vertical="center" wrapText="1"/>
    </xf>
    <xf numFmtId="0" fontId="45" fillId="0" borderId="82" xfId="0" applyFont="1" applyBorder="1" applyAlignment="1">
      <alignment horizontal="center" vertical="center" wrapText="1"/>
    </xf>
    <xf numFmtId="0" fontId="45" fillId="0" borderId="83" xfId="0" applyFont="1" applyBorder="1" applyAlignment="1">
      <alignment horizontal="center" vertical="center" wrapText="1"/>
    </xf>
    <xf numFmtId="0" fontId="45" fillId="0" borderId="84" xfId="0" applyFont="1" applyBorder="1" applyAlignment="1">
      <alignment horizontal="center" vertical="center" wrapText="1"/>
    </xf>
    <xf numFmtId="0" fontId="45" fillId="0" borderId="83" xfId="0" applyFont="1" applyBorder="1" applyAlignment="1">
      <alignment vertical="center" wrapText="1"/>
    </xf>
    <xf numFmtId="0" fontId="45" fillId="0" borderId="84" xfId="0" applyFont="1" applyBorder="1" applyAlignment="1">
      <alignment vertical="center" wrapText="1"/>
    </xf>
    <xf numFmtId="0" fontId="58" fillId="0" borderId="68" xfId="0" applyFont="1" applyFill="1" applyBorder="1" applyAlignment="1">
      <alignment horizontal="center" vertical="center" wrapText="1"/>
    </xf>
    <xf numFmtId="0" fontId="58" fillId="0" borderId="69" xfId="0" applyFont="1" applyFill="1" applyBorder="1" applyAlignment="1">
      <alignment horizontal="center" vertical="center" wrapText="1"/>
    </xf>
    <xf numFmtId="0" fontId="58" fillId="0" borderId="70" xfId="0" applyFont="1" applyFill="1" applyBorder="1" applyAlignment="1">
      <alignment horizontal="center" vertical="center" wrapText="1"/>
    </xf>
    <xf numFmtId="0" fontId="46" fillId="0" borderId="4" xfId="0" applyFont="1" applyFill="1" applyBorder="1" applyAlignment="1">
      <alignment horizontal="left" vertical="top" wrapText="1"/>
    </xf>
    <xf numFmtId="0" fontId="45" fillId="0" borderId="76" xfId="0" applyFont="1" applyBorder="1" applyAlignment="1">
      <alignment horizontal="center" vertical="center" wrapText="1"/>
    </xf>
    <xf numFmtId="0" fontId="45" fillId="0" borderId="80" xfId="0" applyFont="1" applyBorder="1" applyAlignment="1">
      <alignment horizontal="center" vertical="center" wrapText="1"/>
    </xf>
    <xf numFmtId="0" fontId="45" fillId="0" borderId="85" xfId="0" applyFont="1" applyBorder="1" applyAlignment="1">
      <alignment horizontal="center" vertical="center" wrapText="1"/>
    </xf>
    <xf numFmtId="0" fontId="45" fillId="0" borderId="77" xfId="0" applyFont="1" applyBorder="1" applyAlignment="1">
      <alignment horizontal="center" vertical="center" wrapText="1"/>
    </xf>
    <xf numFmtId="0" fontId="45" fillId="0" borderId="78" xfId="0" applyFont="1" applyBorder="1" applyAlignment="1">
      <alignment horizontal="center" vertical="center" wrapText="1"/>
    </xf>
    <xf numFmtId="0" fontId="45" fillId="0" borderId="79" xfId="0" applyFont="1" applyBorder="1" applyAlignment="1">
      <alignment horizontal="center" vertical="center" wrapText="1"/>
    </xf>
    <xf numFmtId="0" fontId="58" fillId="0" borderId="48" xfId="0" applyFont="1" applyFill="1" applyBorder="1" applyAlignment="1">
      <alignment horizontal="center" vertical="center" wrapText="1"/>
    </xf>
    <xf numFmtId="0" fontId="58" fillId="0" borderId="49" xfId="0" applyFont="1" applyFill="1" applyBorder="1" applyAlignment="1">
      <alignment horizontal="center" vertical="center" wrapText="1"/>
    </xf>
    <xf numFmtId="0" fontId="58" fillId="0" borderId="50" xfId="0" applyFont="1" applyFill="1" applyBorder="1" applyAlignment="1">
      <alignment horizontal="center" vertical="center" wrapText="1"/>
    </xf>
    <xf numFmtId="0" fontId="59" fillId="0" borderId="51" xfId="0" applyFont="1" applyFill="1" applyBorder="1" applyAlignment="1">
      <alignment horizontal="center"/>
    </xf>
    <xf numFmtId="0" fontId="59" fillId="0" borderId="35" xfId="0" applyFont="1" applyFill="1" applyBorder="1" applyAlignment="1">
      <alignment horizontal="center"/>
    </xf>
    <xf numFmtId="0" fontId="58" fillId="0" borderId="4" xfId="0" applyFont="1" applyFill="1" applyBorder="1" applyAlignment="1">
      <alignment horizontal="center" vertical="center" wrapText="1"/>
    </xf>
    <xf numFmtId="0" fontId="27" fillId="4" borderId="15" xfId="0" applyFont="1" applyFill="1" applyBorder="1" applyAlignment="1">
      <alignment horizontal="center" vertical="center"/>
    </xf>
    <xf numFmtId="0" fontId="0" fillId="4" borderId="9" xfId="0" applyFill="1" applyBorder="1" applyAlignment="1">
      <alignment horizontal="center" vertical="center"/>
    </xf>
    <xf numFmtId="0" fontId="27" fillId="0" borderId="15" xfId="0" applyFont="1" applyFill="1" applyBorder="1" applyAlignment="1">
      <alignment vertical="center" wrapText="1"/>
    </xf>
    <xf numFmtId="0" fontId="0" fillId="0" borderId="9" xfId="0" applyBorder="1" applyAlignment="1">
      <alignment vertical="center" wrapText="1"/>
    </xf>
    <xf numFmtId="0" fontId="27" fillId="0" borderId="15" xfId="0" applyFont="1" applyFill="1" applyBorder="1" applyAlignment="1">
      <alignment horizontal="center" vertical="center"/>
    </xf>
    <xf numFmtId="0" fontId="0" fillId="0" borderId="9" xfId="0" applyBorder="1" applyAlignment="1">
      <alignment horizontal="center" vertical="center"/>
    </xf>
    <xf numFmtId="0" fontId="27" fillId="0" borderId="15" xfId="0" applyFont="1" applyFill="1" applyBorder="1" applyAlignment="1">
      <alignment horizontal="center" vertical="center" wrapText="1"/>
    </xf>
    <xf numFmtId="0" fontId="0" fillId="0" borderId="9" xfId="0" applyBorder="1" applyAlignment="1">
      <alignment horizontal="center" vertical="center" wrapText="1"/>
    </xf>
    <xf numFmtId="0" fontId="27" fillId="0" borderId="15" xfId="0" applyFont="1" applyFill="1" applyBorder="1" applyAlignment="1">
      <alignment horizontal="left" vertical="center" wrapText="1"/>
    </xf>
    <xf numFmtId="0" fontId="21" fillId="3" borderId="4" xfId="0" applyFont="1" applyFill="1" applyBorder="1" applyAlignment="1" applyProtection="1">
      <alignment horizontal="center" vertical="center" wrapText="1"/>
    </xf>
    <xf numFmtId="0" fontId="21" fillId="3" borderId="4" xfId="0" applyFont="1" applyFill="1" applyBorder="1" applyAlignment="1" applyProtection="1">
      <alignment horizontal="center" vertical="center"/>
    </xf>
    <xf numFmtId="0" fontId="25" fillId="3" borderId="4" xfId="0" applyFont="1" applyFill="1" applyBorder="1" applyAlignment="1" applyProtection="1">
      <alignment horizontal="center" vertical="center"/>
    </xf>
    <xf numFmtId="0" fontId="21" fillId="0" borderId="4" xfId="0" applyFont="1" applyFill="1" applyBorder="1" applyAlignment="1" applyProtection="1">
      <alignment horizontal="center" vertical="center"/>
    </xf>
    <xf numFmtId="0" fontId="33" fillId="0" borderId="14" xfId="0" applyFont="1" applyFill="1" applyBorder="1" applyAlignment="1" applyProtection="1">
      <alignment horizontal="center" vertical="center"/>
      <protection locked="0"/>
    </xf>
    <xf numFmtId="0" fontId="33" fillId="0" borderId="39"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100" fillId="3" borderId="4"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xf>
    <xf numFmtId="0" fontId="0" fillId="0" borderId="4" xfId="0" applyBorder="1" applyAlignment="1">
      <alignment horizontal="center" vertical="center" wrapText="1"/>
    </xf>
    <xf numFmtId="0" fontId="25" fillId="0" borderId="0" xfId="0" applyFont="1" applyFill="1" applyAlignment="1" applyProtection="1">
      <alignment horizontal="left" vertical="center"/>
      <protection locked="0"/>
    </xf>
    <xf numFmtId="0" fontId="26" fillId="3" borderId="4" xfId="0" applyFont="1" applyFill="1" applyBorder="1" applyAlignment="1" applyProtection="1">
      <alignment horizontal="center" vertical="center"/>
    </xf>
    <xf numFmtId="0" fontId="23" fillId="3" borderId="4" xfId="0" applyFont="1" applyFill="1" applyBorder="1" applyAlignment="1" applyProtection="1">
      <alignment horizontal="center" vertical="center" wrapText="1"/>
    </xf>
    <xf numFmtId="0" fontId="8" fillId="0" borderId="0" xfId="0" applyFont="1" applyFill="1" applyBorder="1" applyAlignment="1" applyProtection="1">
      <alignment horizontal="left" vertical="center"/>
      <protection locked="0"/>
    </xf>
    <xf numFmtId="0" fontId="21" fillId="3" borderId="4" xfId="0" applyFont="1" applyFill="1" applyBorder="1" applyAlignment="1" applyProtection="1">
      <alignment horizontal="center" vertical="center"/>
      <protection locked="0"/>
    </xf>
    <xf numFmtId="49" fontId="22" fillId="3" borderId="4" xfId="0" applyNumberFormat="1" applyFont="1" applyFill="1" applyBorder="1" applyAlignment="1" applyProtection="1">
      <alignment horizontal="center" vertical="center" wrapText="1"/>
    </xf>
    <xf numFmtId="0" fontId="8" fillId="2" borderId="4" xfId="0" applyFont="1" applyFill="1" applyBorder="1" applyAlignment="1" applyProtection="1">
      <alignment horizontal="center" vertical="center"/>
    </xf>
    <xf numFmtId="0" fontId="8" fillId="2" borderId="4"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5" fillId="3" borderId="14" xfId="0" applyFont="1" applyFill="1" applyBorder="1" applyAlignment="1" applyProtection="1">
      <alignment horizontal="center"/>
      <protection locked="0"/>
    </xf>
    <xf numFmtId="0" fontId="5" fillId="3" borderId="39" xfId="0" applyFont="1" applyFill="1" applyBorder="1" applyAlignment="1" applyProtection="1">
      <alignment horizontal="center"/>
      <protection locked="0"/>
    </xf>
    <xf numFmtId="0" fontId="5" fillId="3" borderId="35" xfId="0" applyFont="1" applyFill="1" applyBorder="1" applyAlignment="1" applyProtection="1">
      <alignment horizontal="center"/>
      <protection locked="0"/>
    </xf>
    <xf numFmtId="0" fontId="8" fillId="2" borderId="2"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5" fillId="2" borderId="4" xfId="0" applyFont="1" applyFill="1" applyBorder="1" applyAlignment="1" applyProtection="1">
      <alignment horizontal="center"/>
      <protection locked="0"/>
    </xf>
    <xf numFmtId="2" fontId="0" fillId="0" borderId="28" xfId="0" applyNumberFormat="1" applyFill="1" applyBorder="1" applyAlignment="1" applyProtection="1">
      <alignment horizontal="center" vertical="center"/>
      <protection locked="0"/>
    </xf>
    <xf numFmtId="2" fontId="0" fillId="0" borderId="30" xfId="0" applyNumberFormat="1" applyFill="1" applyBorder="1" applyAlignment="1" applyProtection="1">
      <alignment horizontal="center" vertical="center"/>
      <protection locked="0"/>
    </xf>
    <xf numFmtId="2" fontId="0" fillId="0" borderId="16" xfId="0" applyNumberFormat="1" applyFill="1" applyBorder="1" applyAlignment="1" applyProtection="1">
      <alignment horizontal="center" vertical="center"/>
      <protection locked="0"/>
    </xf>
    <xf numFmtId="0" fontId="5" fillId="0" borderId="31" xfId="0" applyFont="1" applyFill="1" applyBorder="1" applyAlignment="1" applyProtection="1">
      <alignment horizontal="center"/>
      <protection locked="0"/>
    </xf>
    <xf numFmtId="0" fontId="5" fillId="2" borderId="14" xfId="0" applyFont="1" applyFill="1" applyBorder="1" applyAlignment="1" applyProtection="1">
      <alignment horizontal="center" vertical="center" wrapText="1"/>
      <protection locked="0"/>
    </xf>
    <xf numFmtId="0" fontId="5" fillId="2" borderId="39" xfId="0" applyFont="1" applyFill="1" applyBorder="1" applyAlignment="1" applyProtection="1">
      <alignment horizontal="center" vertical="center" wrapText="1"/>
      <protection locked="0"/>
    </xf>
    <xf numFmtId="0" fontId="5" fillId="2" borderId="35"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xf>
    <xf numFmtId="0" fontId="8" fillId="2" borderId="29" xfId="0" applyFont="1" applyFill="1" applyBorder="1" applyAlignment="1" applyProtection="1">
      <alignment horizontal="center"/>
    </xf>
    <xf numFmtId="0" fontId="0" fillId="0" borderId="4" xfId="0" applyFill="1" applyBorder="1" applyAlignment="1" applyProtection="1">
      <alignment vertical="top"/>
      <protection locked="0"/>
    </xf>
    <xf numFmtId="0" fontId="0" fillId="0" borderId="4" xfId="0" applyBorder="1" applyAlignment="1">
      <alignment vertical="top"/>
    </xf>
    <xf numFmtId="0" fontId="0" fillId="0" borderId="15" xfId="0" applyFill="1" applyBorder="1" applyAlignment="1" applyProtection="1">
      <alignment horizontal="left" vertical="center" wrapText="1"/>
      <protection locked="0"/>
    </xf>
    <xf numFmtId="0" fontId="0" fillId="0" borderId="9" xfId="0" applyBorder="1" applyAlignment="1">
      <alignment horizontal="left" vertical="center"/>
    </xf>
    <xf numFmtId="0" fontId="8" fillId="2" borderId="1" xfId="0" applyFont="1" applyFill="1" applyBorder="1" applyAlignment="1" applyProtection="1">
      <alignment horizontal="center" vertical="center"/>
    </xf>
    <xf numFmtId="0" fontId="8" fillId="2" borderId="25"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23" xfId="0" applyFont="1" applyFill="1" applyBorder="1" applyAlignment="1" applyProtection="1">
      <alignment horizontal="center" vertical="center" wrapText="1"/>
    </xf>
    <xf numFmtId="0" fontId="8" fillId="2" borderId="24"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protection locked="0"/>
    </xf>
    <xf numFmtId="0" fontId="21" fillId="0" borderId="4" xfId="0" applyFont="1" applyFill="1" applyBorder="1" applyAlignment="1" applyProtection="1">
      <alignment horizontal="left" vertical="center"/>
    </xf>
    <xf numFmtId="0" fontId="21" fillId="3" borderId="28" xfId="0" applyFont="1" applyFill="1" applyBorder="1" applyAlignment="1" applyProtection="1">
      <alignment horizontal="center" vertical="center" wrapText="1"/>
    </xf>
    <xf numFmtId="0" fontId="21" fillId="3" borderId="89" xfId="0" applyFont="1" applyFill="1" applyBorder="1" applyAlignment="1" applyProtection="1">
      <alignment horizontal="center" vertical="center" wrapText="1"/>
    </xf>
    <xf numFmtId="0" fontId="21" fillId="3" borderId="29" xfId="0" applyFont="1" applyFill="1" applyBorder="1" applyAlignment="1" applyProtection="1">
      <alignment horizontal="center" vertical="center" wrapText="1"/>
    </xf>
    <xf numFmtId="0" fontId="21" fillId="3" borderId="30" xfId="0"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wrapText="1"/>
    </xf>
    <xf numFmtId="0" fontId="21" fillId="3" borderId="90" xfId="0" applyFont="1" applyFill="1" applyBorder="1" applyAlignment="1" applyProtection="1">
      <alignment horizontal="center" vertical="center" wrapText="1"/>
    </xf>
    <xf numFmtId="0" fontId="21" fillId="3" borderId="16" xfId="0" applyFont="1" applyFill="1" applyBorder="1" applyAlignment="1" applyProtection="1">
      <alignment horizontal="center" vertical="center" wrapText="1"/>
    </xf>
    <xf numFmtId="0" fontId="21" fillId="3" borderId="31" xfId="0" applyFont="1" applyFill="1" applyBorder="1" applyAlignment="1" applyProtection="1">
      <alignment horizontal="center" vertical="center" wrapText="1"/>
    </xf>
    <xf numFmtId="0" fontId="21" fillId="3" borderId="38" xfId="0" applyFont="1" applyFill="1" applyBorder="1" applyAlignment="1" applyProtection="1">
      <alignment horizontal="center" vertical="center" wrapText="1"/>
    </xf>
    <xf numFmtId="49" fontId="22" fillId="3" borderId="4" xfId="0" applyNumberFormat="1" applyFont="1" applyFill="1" applyBorder="1" applyAlignment="1" applyProtection="1">
      <alignment horizontal="center" vertical="center"/>
    </xf>
    <xf numFmtId="0" fontId="21" fillId="3" borderId="14" xfId="0" applyFont="1" applyFill="1" applyBorder="1" applyAlignment="1" applyProtection="1">
      <alignment horizontal="center" vertical="center" wrapText="1"/>
    </xf>
    <xf numFmtId="0" fontId="0" fillId="0" borderId="14" xfId="0" applyBorder="1" applyAlignment="1">
      <alignment horizontal="center" vertical="center" wrapText="1"/>
    </xf>
    <xf numFmtId="2" fontId="0" fillId="0" borderId="15" xfId="0" applyNumberFormat="1" applyFill="1" applyBorder="1" applyAlignment="1" applyProtection="1">
      <alignment horizontal="center" vertical="center"/>
      <protection locked="0"/>
    </xf>
    <xf numFmtId="2" fontId="0" fillId="0" borderId="3" xfId="0" applyNumberFormat="1" applyFill="1" applyBorder="1" applyAlignment="1" applyProtection="1">
      <alignment horizontal="center" vertical="center"/>
      <protection locked="0"/>
    </xf>
    <xf numFmtId="2" fontId="0" fillId="0" borderId="9" xfId="0" applyNumberFormat="1" applyFill="1" applyBorder="1" applyAlignment="1" applyProtection="1">
      <alignment horizontal="center" vertical="center"/>
      <protection locked="0"/>
    </xf>
    <xf numFmtId="0" fontId="5" fillId="0" borderId="31" xfId="0" applyFont="1" applyFill="1" applyBorder="1" applyAlignment="1" applyProtection="1">
      <alignment horizontal="left"/>
      <protection locked="0"/>
    </xf>
    <xf numFmtId="0" fontId="8" fillId="2" borderId="28" xfId="0" applyFont="1" applyFill="1" applyBorder="1" applyAlignment="1" applyProtection="1">
      <alignment horizontal="center" vertical="center"/>
    </xf>
    <xf numFmtId="0" fontId="8" fillId="2" borderId="89" xfId="0" applyFont="1" applyFill="1" applyBorder="1" applyAlignment="1" applyProtection="1">
      <alignment horizontal="center" vertical="center"/>
    </xf>
    <xf numFmtId="0" fontId="8" fillId="2" borderId="29" xfId="0" applyFont="1" applyFill="1" applyBorder="1" applyAlignment="1" applyProtection="1">
      <alignment horizontal="center" vertical="center"/>
    </xf>
    <xf numFmtId="0" fontId="8" fillId="2" borderId="16" xfId="0" applyFont="1" applyFill="1" applyBorder="1" applyAlignment="1" applyProtection="1">
      <alignment horizontal="center" vertical="center"/>
    </xf>
    <xf numFmtId="0" fontId="8" fillId="2" borderId="31" xfId="0" applyFont="1" applyFill="1" applyBorder="1" applyAlignment="1" applyProtection="1">
      <alignment horizontal="center" vertical="center"/>
    </xf>
    <xf numFmtId="0" fontId="8" fillId="2" borderId="38" xfId="0" applyFont="1" applyFill="1" applyBorder="1" applyAlignment="1" applyProtection="1">
      <alignment horizontal="center" vertical="center"/>
    </xf>
    <xf numFmtId="0" fontId="54" fillId="2" borderId="32" xfId="0" applyFont="1" applyFill="1" applyBorder="1" applyAlignment="1">
      <alignment horizontal="center"/>
    </xf>
    <xf numFmtId="0" fontId="54" fillId="2" borderId="33" xfId="0" applyFont="1" applyFill="1" applyBorder="1" applyAlignment="1">
      <alignment horizontal="center"/>
    </xf>
    <xf numFmtId="0" fontId="54" fillId="2" borderId="34" xfId="0" applyFont="1" applyFill="1" applyBorder="1" applyAlignment="1">
      <alignment horizontal="center"/>
    </xf>
    <xf numFmtId="0" fontId="5" fillId="2" borderId="42" xfId="0" applyFont="1" applyFill="1" applyBorder="1" applyAlignment="1">
      <alignment horizontal="center"/>
    </xf>
    <xf numFmtId="0" fontId="5" fillId="2" borderId="4" xfId="0" applyFont="1" applyFill="1" applyBorder="1" applyAlignment="1">
      <alignment horizontal="center"/>
    </xf>
    <xf numFmtId="0" fontId="5" fillId="2" borderId="43" xfId="0" applyFont="1" applyFill="1" applyBorder="1" applyAlignment="1">
      <alignment horizontal="center"/>
    </xf>
    <xf numFmtId="2" fontId="35" fillId="0" borderId="15" xfId="0" applyNumberFormat="1" applyFont="1" applyFill="1" applyBorder="1" applyAlignment="1" applyProtection="1">
      <alignment horizontal="center" vertical="center"/>
      <protection locked="0"/>
    </xf>
    <xf numFmtId="2" fontId="35" fillId="0" borderId="9" xfId="0" applyNumberFormat="1" applyFont="1" applyFill="1" applyBorder="1" applyAlignment="1" applyProtection="1">
      <alignment horizontal="center" vertical="center"/>
      <protection locked="0"/>
    </xf>
    <xf numFmtId="1" fontId="38" fillId="2" borderId="15" xfId="0" applyNumberFormat="1" applyFont="1" applyFill="1" applyBorder="1" applyAlignment="1" applyProtection="1">
      <alignment horizontal="center" vertical="center" wrapText="1"/>
    </xf>
    <xf numFmtId="1" fontId="38" fillId="2" borderId="9" xfId="0" applyNumberFormat="1" applyFont="1" applyFill="1" applyBorder="1" applyAlignment="1" applyProtection="1">
      <alignment horizontal="center" vertical="center" wrapText="1"/>
    </xf>
    <xf numFmtId="0" fontId="37" fillId="0" borderId="89"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center" vertical="center" wrapText="1"/>
      <protection locked="0"/>
    </xf>
    <xf numFmtId="2" fontId="35" fillId="0" borderId="4" xfId="0" applyNumberFormat="1" applyFont="1" applyFill="1" applyBorder="1" applyAlignment="1" applyProtection="1">
      <alignment horizontal="center" vertical="center"/>
      <protection locked="0"/>
    </xf>
    <xf numFmtId="2" fontId="35" fillId="0" borderId="4" xfId="0" applyNumberFormat="1" applyFont="1" applyFill="1" applyBorder="1" applyAlignment="1">
      <alignment horizontal="center" vertical="center"/>
    </xf>
    <xf numFmtId="2" fontId="37" fillId="0" borderId="15" xfId="0" applyNumberFormat="1" applyFont="1" applyFill="1" applyBorder="1" applyAlignment="1" applyProtection="1">
      <alignment horizontal="center" vertical="center"/>
      <protection locked="0"/>
    </xf>
    <xf numFmtId="2" fontId="37" fillId="0" borderId="9" xfId="0" applyNumberFormat="1" applyFont="1" applyFill="1" applyBorder="1" applyAlignment="1" applyProtection="1">
      <alignment horizontal="center" vertical="center"/>
      <protection locked="0"/>
    </xf>
    <xf numFmtId="0" fontId="37" fillId="0" borderId="4" xfId="0" applyFont="1" applyFill="1" applyBorder="1" applyAlignment="1" applyProtection="1">
      <alignment horizontal="center" vertical="center"/>
      <protection locked="0"/>
    </xf>
    <xf numFmtId="0" fontId="37" fillId="0" borderId="4" xfId="0" applyFont="1" applyFill="1" applyBorder="1" applyAlignment="1">
      <alignment horizontal="center" vertical="center"/>
    </xf>
    <xf numFmtId="0" fontId="2" fillId="0" borderId="4" xfId="0" applyFont="1" applyBorder="1" applyAlignment="1">
      <alignment horizontal="center" vertical="center"/>
    </xf>
    <xf numFmtId="0" fontId="37" fillId="0" borderId="15" xfId="0" applyFont="1" applyFill="1" applyBorder="1" applyAlignment="1" applyProtection="1">
      <alignment horizontal="center" vertical="center"/>
      <protection locked="0"/>
    </xf>
    <xf numFmtId="0" fontId="37" fillId="0" borderId="3" xfId="0" applyFont="1" applyFill="1" applyBorder="1" applyAlignment="1">
      <alignment horizontal="center" vertical="center"/>
    </xf>
    <xf numFmtId="0" fontId="37" fillId="4" borderId="4" xfId="0" applyFont="1" applyFill="1" applyBorder="1" applyAlignment="1" applyProtection="1">
      <alignment horizontal="center" vertical="center"/>
      <protection locked="0"/>
    </xf>
    <xf numFmtId="0" fontId="37" fillId="4" borderId="4" xfId="0" applyFont="1" applyFill="1" applyBorder="1" applyAlignment="1">
      <alignment horizontal="center" vertical="center"/>
    </xf>
    <xf numFmtId="0" fontId="37" fillId="0" borderId="9" xfId="0"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8" fillId="2" borderId="4" xfId="0" applyFont="1" applyFill="1" applyBorder="1" applyAlignment="1" applyProtection="1">
      <alignment horizontal="center" vertical="center" wrapText="1"/>
    </xf>
    <xf numFmtId="0" fontId="22" fillId="0" borderId="4" xfId="0" applyFont="1" applyFill="1" applyBorder="1" applyAlignment="1" applyProtection="1">
      <alignment horizontal="center" vertical="center" wrapText="1"/>
    </xf>
    <xf numFmtId="0" fontId="38" fillId="0" borderId="4" xfId="0" applyFont="1" applyFill="1" applyBorder="1" applyAlignment="1" applyProtection="1">
      <alignment horizontal="center" vertical="center"/>
    </xf>
    <xf numFmtId="0" fontId="29" fillId="3" borderId="66" xfId="0" applyFont="1" applyFill="1" applyBorder="1" applyAlignment="1" applyProtection="1">
      <alignment horizontal="center" vertical="center"/>
    </xf>
    <xf numFmtId="0" fontId="29" fillId="3" borderId="88" xfId="0" applyFont="1" applyFill="1" applyBorder="1" applyAlignment="1" applyProtection="1">
      <alignment horizontal="center" vertical="center"/>
    </xf>
    <xf numFmtId="0" fontId="29" fillId="3" borderId="63" xfId="0" applyFont="1" applyFill="1" applyBorder="1" applyAlignment="1" applyProtection="1">
      <alignment horizontal="center" vertical="center"/>
    </xf>
    <xf numFmtId="0" fontId="38" fillId="2" borderId="4" xfId="0" applyFont="1" applyFill="1" applyBorder="1" applyAlignment="1" applyProtection="1">
      <alignment horizontal="center" vertical="center"/>
    </xf>
    <xf numFmtId="0" fontId="45" fillId="0" borderId="30" xfId="0" applyFont="1" applyFill="1" applyBorder="1" applyAlignment="1" applyProtection="1">
      <alignment horizontal="left" vertical="center"/>
      <protection locked="0"/>
    </xf>
    <xf numFmtId="0" fontId="45" fillId="0" borderId="0" xfId="0" applyFont="1" applyFill="1" applyBorder="1" applyAlignment="1" applyProtection="1">
      <alignment horizontal="left" vertical="center"/>
      <protection locked="0"/>
    </xf>
    <xf numFmtId="0" fontId="74" fillId="0" borderId="14" xfId="0" applyFont="1" applyFill="1" applyBorder="1" applyAlignment="1" applyProtection="1">
      <alignment horizontal="left" vertical="center"/>
      <protection locked="0"/>
    </xf>
    <xf numFmtId="0" fontId="74" fillId="0" borderId="39" xfId="0" applyFont="1" applyFill="1" applyBorder="1" applyAlignment="1" applyProtection="1">
      <alignment horizontal="left" vertical="center"/>
      <protection locked="0"/>
    </xf>
    <xf numFmtId="0" fontId="38" fillId="0" borderId="14" xfId="0" applyFont="1" applyFill="1" applyBorder="1" applyAlignment="1" applyProtection="1">
      <alignment horizontal="center" vertical="center"/>
    </xf>
    <xf numFmtId="0" fontId="38" fillId="0" borderId="39" xfId="0" applyFont="1" applyFill="1" applyBorder="1" applyAlignment="1" applyProtection="1">
      <alignment horizontal="center" vertical="center"/>
    </xf>
    <xf numFmtId="0" fontId="38" fillId="0" borderId="35" xfId="0" applyFont="1" applyFill="1" applyBorder="1" applyAlignment="1" applyProtection="1">
      <alignment horizontal="center" vertical="center"/>
    </xf>
    <xf numFmtId="0" fontId="37" fillId="0" borderId="3" xfId="0" applyFont="1" applyFill="1" applyBorder="1" applyAlignment="1" applyProtection="1">
      <alignment horizontal="center" vertical="center"/>
      <protection locked="0"/>
    </xf>
    <xf numFmtId="1" fontId="38" fillId="2" borderId="4" xfId="0" applyNumberFormat="1" applyFont="1" applyFill="1" applyBorder="1" applyAlignment="1" applyProtection="1">
      <alignment horizontal="center" vertical="center" wrapText="1"/>
    </xf>
    <xf numFmtId="0" fontId="8" fillId="2" borderId="14" xfId="0" applyFont="1" applyFill="1" applyBorder="1" applyAlignment="1" applyProtection="1">
      <alignment horizontal="center"/>
    </xf>
    <xf numFmtId="0" fontId="8" fillId="2" borderId="39" xfId="0" applyFont="1" applyFill="1" applyBorder="1" applyAlignment="1" applyProtection="1">
      <alignment horizontal="center"/>
    </xf>
    <xf numFmtId="0" fontId="8" fillId="2" borderId="35" xfId="0" applyFont="1" applyFill="1" applyBorder="1" applyAlignment="1" applyProtection="1">
      <alignment horizontal="center"/>
    </xf>
    <xf numFmtId="0" fontId="21" fillId="3" borderId="4" xfId="0" applyFont="1" applyFill="1" applyBorder="1" applyAlignment="1" applyProtection="1">
      <alignment horizontal="center"/>
    </xf>
    <xf numFmtId="0" fontId="21" fillId="0" borderId="4" xfId="0" applyFont="1" applyFill="1" applyBorder="1" applyAlignment="1" applyProtection="1">
      <alignment horizontal="right"/>
      <protection locked="0"/>
    </xf>
    <xf numFmtId="0" fontId="33" fillId="0" borderId="14" xfId="0" applyFont="1" applyFill="1" applyBorder="1" applyAlignment="1" applyProtection="1">
      <alignment horizontal="center"/>
      <protection locked="0"/>
    </xf>
    <xf numFmtId="0" fontId="33" fillId="0" borderId="39" xfId="0" applyFont="1" applyFill="1" applyBorder="1" applyAlignment="1" applyProtection="1">
      <alignment horizontal="center"/>
      <protection locked="0"/>
    </xf>
    <xf numFmtId="0" fontId="33" fillId="0" borderId="35" xfId="0" applyFont="1" applyFill="1" applyBorder="1" applyAlignment="1" applyProtection="1">
      <alignment horizontal="center"/>
      <protection locked="0"/>
    </xf>
    <xf numFmtId="0" fontId="21" fillId="0" borderId="43" xfId="0" applyFont="1" applyFill="1" applyBorder="1" applyAlignment="1" applyProtection="1">
      <alignment horizontal="center" vertical="center" wrapText="1"/>
    </xf>
    <xf numFmtId="0" fontId="48" fillId="3" borderId="4" xfId="0" applyFont="1" applyFill="1" applyBorder="1" applyAlignment="1" applyProtection="1">
      <alignment horizontal="center" vertical="center" wrapText="1"/>
    </xf>
    <xf numFmtId="0" fontId="48" fillId="3" borderId="4" xfId="0" applyFont="1" applyFill="1" applyBorder="1" applyAlignment="1" applyProtection="1">
      <alignment horizontal="center" vertical="center"/>
    </xf>
    <xf numFmtId="0" fontId="31" fillId="0" borderId="32" xfId="0" applyFont="1" applyFill="1" applyBorder="1" applyAlignment="1" applyProtection="1">
      <alignment horizontal="left"/>
      <protection locked="0"/>
    </xf>
    <xf numFmtId="0" fontId="31" fillId="0" borderId="33" xfId="0" applyFont="1" applyFill="1" applyBorder="1" applyAlignment="1" applyProtection="1">
      <alignment horizontal="left"/>
      <protection locked="0"/>
    </xf>
    <xf numFmtId="0" fontId="31" fillId="0" borderId="34" xfId="0" applyFont="1" applyFill="1" applyBorder="1" applyAlignment="1" applyProtection="1">
      <alignment horizontal="left"/>
      <protection locked="0"/>
    </xf>
    <xf numFmtId="0" fontId="33" fillId="0" borderId="15" xfId="0" applyFont="1" applyFill="1" applyBorder="1" applyAlignment="1" applyProtection="1">
      <alignment horizontal="center"/>
    </xf>
    <xf numFmtId="0" fontId="47" fillId="3" borderId="4" xfId="0" applyFont="1" applyFill="1" applyBorder="1" applyAlignment="1" applyProtection="1">
      <alignment horizontal="center" vertical="center" wrapText="1"/>
    </xf>
    <xf numFmtId="0" fontId="5" fillId="3" borderId="14" xfId="0" applyFont="1" applyFill="1" applyBorder="1" applyAlignment="1" applyProtection="1">
      <alignment horizontal="center" vertical="center" wrapText="1"/>
      <protection locked="0"/>
    </xf>
    <xf numFmtId="0" fontId="5" fillId="3" borderId="39" xfId="0" applyFont="1" applyFill="1" applyBorder="1" applyAlignment="1" applyProtection="1">
      <alignment horizontal="center" vertical="center" wrapText="1"/>
      <protection locked="0"/>
    </xf>
    <xf numFmtId="0" fontId="5" fillId="3" borderId="35" xfId="0" applyFont="1" applyFill="1" applyBorder="1" applyAlignment="1" applyProtection="1">
      <alignment horizontal="center" vertical="center" wrapText="1"/>
      <protection locked="0"/>
    </xf>
    <xf numFmtId="0" fontId="27" fillId="3"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8" fillId="0" borderId="4" xfId="0" applyFont="1" applyFill="1" applyBorder="1" applyAlignment="1" applyProtection="1">
      <alignment horizontal="center" vertical="center" wrapText="1"/>
      <protection locked="0"/>
    </xf>
    <xf numFmtId="0" fontId="27" fillId="0" borderId="4" xfId="0" applyFont="1" applyFill="1" applyBorder="1" applyAlignment="1">
      <alignment horizontal="center" vertical="center"/>
    </xf>
    <xf numFmtId="0" fontId="0" fillId="0" borderId="4" xfId="0" applyBorder="1" applyAlignment="1">
      <alignment horizontal="center" vertical="center"/>
    </xf>
    <xf numFmtId="2" fontId="27" fillId="0" borderId="4" xfId="0" applyNumberFormat="1" applyFont="1" applyFill="1" applyBorder="1" applyAlignment="1" applyProtection="1">
      <alignment horizontal="center" vertical="center"/>
      <protection locked="0"/>
    </xf>
    <xf numFmtId="0" fontId="27" fillId="0" borderId="4" xfId="0" applyFont="1" applyFill="1" applyBorder="1" applyAlignment="1" applyProtection="1">
      <alignment horizontal="center" vertical="center" wrapText="1"/>
      <protection locked="0"/>
    </xf>
    <xf numFmtId="2" fontId="27" fillId="4" borderId="4" xfId="0" applyNumberFormat="1" applyFont="1" applyFill="1" applyBorder="1" applyAlignment="1" applyProtection="1">
      <alignment horizontal="center" vertical="center"/>
      <protection locked="0"/>
    </xf>
    <xf numFmtId="0" fontId="0" fillId="4" borderId="4" xfId="0" applyFill="1" applyBorder="1" applyAlignment="1">
      <alignment horizontal="center" vertical="center"/>
    </xf>
    <xf numFmtId="0" fontId="27" fillId="0" borderId="28" xfId="0" applyFont="1" applyFill="1" applyBorder="1" applyAlignment="1" applyProtection="1">
      <alignment horizontal="center" vertical="center" wrapText="1"/>
      <protection locked="0"/>
    </xf>
    <xf numFmtId="0" fontId="0" fillId="0" borderId="16" xfId="0" applyBorder="1" applyAlignment="1">
      <alignment horizontal="center" vertical="center" wrapText="1"/>
    </xf>
    <xf numFmtId="0" fontId="27" fillId="0" borderId="15" xfId="0"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30" xfId="0" applyBorder="1" applyAlignment="1">
      <alignment horizontal="center" vertical="center" wrapText="1"/>
    </xf>
    <xf numFmtId="0" fontId="21" fillId="3" borderId="28" xfId="0" applyFont="1" applyFill="1" applyBorder="1" applyAlignment="1" applyProtection="1">
      <alignment horizontal="center" vertical="center"/>
    </xf>
    <xf numFmtId="0" fontId="21" fillId="3" borderId="29" xfId="0" applyFont="1" applyFill="1" applyBorder="1" applyAlignment="1" applyProtection="1">
      <alignment horizontal="center" vertical="center"/>
    </xf>
    <xf numFmtId="0" fontId="21" fillId="3" borderId="56"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55" xfId="0" applyFont="1" applyFill="1" applyBorder="1" applyAlignment="1" applyProtection="1">
      <alignment horizontal="center" vertical="center" wrapText="1"/>
    </xf>
    <xf numFmtId="0" fontId="21" fillId="3" borderId="60" xfId="0" applyFont="1" applyFill="1" applyBorder="1" applyAlignment="1" applyProtection="1">
      <alignment horizontal="center" vertical="center"/>
    </xf>
    <xf numFmtId="0" fontId="21" fillId="3" borderId="49" xfId="0" applyFont="1" applyFill="1" applyBorder="1" applyAlignment="1" applyProtection="1">
      <alignment horizontal="center" vertical="center"/>
    </xf>
    <xf numFmtId="0" fontId="21" fillId="3" borderId="50" xfId="0" applyFont="1" applyFill="1" applyBorder="1" applyAlignment="1" applyProtection="1">
      <alignment horizontal="center" vertical="center"/>
    </xf>
    <xf numFmtId="0" fontId="21" fillId="3" borderId="57" xfId="0" applyFont="1" applyFill="1" applyBorder="1" applyAlignment="1" applyProtection="1">
      <alignment horizontal="center" vertical="center" wrapText="1"/>
    </xf>
    <xf numFmtId="0" fontId="0" fillId="3" borderId="67" xfId="0" applyFill="1" applyBorder="1" applyAlignment="1">
      <alignment horizontal="center" vertical="center" wrapText="1"/>
    </xf>
    <xf numFmtId="0" fontId="31" fillId="0" borderId="0" xfId="0" applyFont="1" applyFill="1" applyBorder="1" applyAlignment="1" applyProtection="1">
      <alignment horizontal="left"/>
      <protection locked="0"/>
    </xf>
    <xf numFmtId="0" fontId="31" fillId="0" borderId="86" xfId="0" applyFont="1" applyFill="1" applyBorder="1" applyAlignment="1" applyProtection="1">
      <alignment horizontal="left"/>
      <protection locked="0"/>
    </xf>
    <xf numFmtId="0" fontId="21" fillId="3" borderId="65" xfId="0" applyFont="1" applyFill="1" applyBorder="1" applyAlignment="1" applyProtection="1">
      <alignment horizontal="center" vertical="center"/>
      <protection locked="0"/>
    </xf>
    <xf numFmtId="0" fontId="21" fillId="3" borderId="52" xfId="0" applyFont="1" applyFill="1" applyBorder="1" applyAlignment="1" applyProtection="1">
      <alignment horizontal="center" vertical="center"/>
      <protection locked="0"/>
    </xf>
    <xf numFmtId="0" fontId="21" fillId="3" borderId="54" xfId="0" applyFont="1" applyFill="1" applyBorder="1" applyAlignment="1" applyProtection="1">
      <alignment horizontal="center" vertical="center"/>
    </xf>
    <xf numFmtId="0" fontId="21" fillId="3" borderId="55" xfId="0" applyFont="1" applyFill="1" applyBorder="1" applyAlignment="1" applyProtection="1">
      <alignment horizontal="center" vertical="center"/>
    </xf>
    <xf numFmtId="0" fontId="21" fillId="3" borderId="16" xfId="0" applyFont="1" applyFill="1" applyBorder="1" applyAlignment="1" applyProtection="1">
      <alignment horizontal="center" vertical="center"/>
    </xf>
    <xf numFmtId="0" fontId="21" fillId="3" borderId="38" xfId="0" applyFont="1" applyFill="1" applyBorder="1" applyAlignment="1" applyProtection="1">
      <alignment horizontal="center" vertical="center"/>
    </xf>
    <xf numFmtId="49" fontId="22" fillId="3" borderId="56" xfId="0" applyNumberFormat="1" applyFont="1" applyFill="1" applyBorder="1" applyAlignment="1" applyProtection="1">
      <alignment horizontal="center" vertical="center"/>
    </xf>
    <xf numFmtId="49" fontId="22" fillId="3" borderId="9" xfId="0" applyNumberFormat="1" applyFont="1" applyFill="1" applyBorder="1" applyAlignment="1" applyProtection="1">
      <alignment horizontal="center" vertical="center"/>
    </xf>
    <xf numFmtId="0" fontId="23" fillId="3" borderId="56" xfId="0" applyFont="1" applyFill="1" applyBorder="1" applyAlignment="1" applyProtection="1">
      <alignment horizontal="center" vertical="center" wrapText="1"/>
    </xf>
    <xf numFmtId="0" fontId="23" fillId="3" borderId="9" xfId="0" applyFont="1" applyFill="1" applyBorder="1" applyAlignment="1" applyProtection="1">
      <alignment horizontal="center" vertical="center" wrapText="1"/>
    </xf>
    <xf numFmtId="0" fontId="21" fillId="3" borderId="54" xfId="0" applyFont="1" applyFill="1" applyBorder="1" applyAlignment="1" applyProtection="1">
      <alignment horizontal="center" vertical="center" wrapText="1"/>
    </xf>
    <xf numFmtId="0" fontId="28" fillId="0" borderId="61" xfId="0" applyFont="1" applyFill="1" applyBorder="1" applyAlignment="1">
      <alignment horizontal="center" vertical="center"/>
    </xf>
    <xf numFmtId="0" fontId="0" fillId="0" borderId="52" xfId="0" applyFill="1" applyBorder="1" applyAlignment="1">
      <alignment horizontal="center" vertical="center"/>
    </xf>
    <xf numFmtId="0" fontId="28" fillId="0" borderId="15" xfId="0" applyFont="1" applyFill="1" applyBorder="1" applyAlignment="1" applyProtection="1">
      <alignment horizontal="center" vertical="center" wrapText="1"/>
      <protection locked="0"/>
    </xf>
    <xf numFmtId="0" fontId="0" fillId="0" borderId="9" xfId="0" applyFill="1" applyBorder="1" applyAlignment="1">
      <alignment horizontal="center" vertical="center" wrapText="1"/>
    </xf>
    <xf numFmtId="0" fontId="27" fillId="0" borderId="56" xfId="0" applyFont="1" applyFill="1" applyBorder="1" applyAlignment="1">
      <alignment horizontal="center" vertical="center" wrapText="1"/>
    </xf>
    <xf numFmtId="0" fontId="28" fillId="0" borderId="56" xfId="0" applyFont="1" applyFill="1" applyBorder="1" applyAlignment="1" applyProtection="1">
      <alignment horizontal="center" vertical="center" wrapText="1"/>
      <protection locked="0"/>
    </xf>
    <xf numFmtId="0" fontId="27" fillId="0" borderId="65" xfId="0" applyFont="1" applyFill="1" applyBorder="1" applyAlignment="1">
      <alignment horizontal="center" vertical="center"/>
    </xf>
    <xf numFmtId="0" fontId="0" fillId="0" borderId="52" xfId="0" applyBorder="1" applyAlignment="1">
      <alignment horizontal="center" vertical="center"/>
    </xf>
    <xf numFmtId="0" fontId="21" fillId="3" borderId="67" xfId="0" applyFont="1" applyFill="1" applyBorder="1" applyAlignment="1" applyProtection="1">
      <alignment horizontal="center" vertical="center" wrapText="1"/>
    </xf>
    <xf numFmtId="0" fontId="21" fillId="3" borderId="66" xfId="0" applyFont="1" applyFill="1" applyBorder="1" applyAlignment="1" applyProtection="1">
      <alignment horizontal="center" vertical="center"/>
    </xf>
    <xf numFmtId="0" fontId="21" fillId="3" borderId="63" xfId="0" applyFont="1" applyFill="1" applyBorder="1" applyAlignment="1" applyProtection="1">
      <alignment horizontal="center" vertical="center"/>
    </xf>
    <xf numFmtId="0" fontId="21" fillId="3" borderId="62" xfId="0" applyFont="1" applyFill="1" applyBorder="1" applyAlignment="1" applyProtection="1">
      <alignment horizontal="center" vertical="center"/>
    </xf>
    <xf numFmtId="0" fontId="81" fillId="3" borderId="65" xfId="0" applyFont="1" applyFill="1" applyBorder="1" applyAlignment="1">
      <alignment horizontal="center" vertical="center" wrapText="1"/>
    </xf>
    <xf numFmtId="0" fontId="81" fillId="3" borderId="64" xfId="0" applyFont="1" applyFill="1" applyBorder="1" applyAlignment="1">
      <alignment horizontal="center" vertical="center" wrapText="1"/>
    </xf>
    <xf numFmtId="0" fontId="81" fillId="3" borderId="52" xfId="0" applyFont="1" applyFill="1" applyBorder="1" applyAlignment="1">
      <alignment horizontal="center" vertical="center" wrapText="1"/>
    </xf>
    <xf numFmtId="0" fontId="81" fillId="3" borderId="60" xfId="0" applyFont="1" applyFill="1" applyBorder="1" applyAlignment="1">
      <alignment horizontal="center" vertical="center" wrapText="1"/>
    </xf>
    <xf numFmtId="0" fontId="81" fillId="3" borderId="49" xfId="0" applyFont="1" applyFill="1" applyBorder="1" applyAlignment="1">
      <alignment horizontal="center" vertical="center" wrapText="1"/>
    </xf>
    <xf numFmtId="0" fontId="81" fillId="3" borderId="50" xfId="0" applyFont="1" applyFill="1" applyBorder="1" applyAlignment="1">
      <alignment horizontal="center" vertical="center" wrapText="1"/>
    </xf>
    <xf numFmtId="0" fontId="81" fillId="3" borderId="14" xfId="0" applyFont="1" applyFill="1" applyBorder="1" applyAlignment="1">
      <alignment horizontal="center" vertical="center" wrapText="1"/>
    </xf>
    <xf numFmtId="0" fontId="81" fillId="3" borderId="39" xfId="0" applyFont="1" applyFill="1" applyBorder="1" applyAlignment="1">
      <alignment horizontal="center" vertical="center" wrapText="1"/>
    </xf>
    <xf numFmtId="0" fontId="81" fillId="3" borderId="53" xfId="0" applyFont="1" applyFill="1" applyBorder="1" applyAlignment="1">
      <alignment horizontal="center" vertical="center" wrapText="1"/>
    </xf>
    <xf numFmtId="0" fontId="37" fillId="0" borderId="61" xfId="4" applyFont="1" applyBorder="1" applyAlignment="1">
      <alignment horizontal="center" vertical="center"/>
    </xf>
    <xf numFmtId="0" fontId="37" fillId="0" borderId="64" xfId="4" applyFont="1" applyBorder="1" applyAlignment="1">
      <alignment horizontal="center" vertical="center"/>
    </xf>
    <xf numFmtId="0" fontId="37" fillId="0" borderId="52" xfId="4" applyFont="1" applyBorder="1" applyAlignment="1">
      <alignment horizontal="center" vertical="center"/>
    </xf>
    <xf numFmtId="0" fontId="46" fillId="3" borderId="60" xfId="4" applyFont="1" applyFill="1" applyBorder="1" applyAlignment="1">
      <alignment horizontal="center" vertical="center"/>
    </xf>
    <xf numFmtId="0" fontId="46" fillId="3" borderId="49" xfId="4" applyFont="1" applyFill="1" applyBorder="1" applyAlignment="1">
      <alignment horizontal="center" vertical="center"/>
    </xf>
    <xf numFmtId="0" fontId="46" fillId="3" borderId="50" xfId="4" applyFont="1" applyFill="1" applyBorder="1" applyAlignment="1">
      <alignment horizontal="center" vertical="center"/>
    </xf>
    <xf numFmtId="0" fontId="38" fillId="3" borderId="65" xfId="4" applyFont="1" applyFill="1" applyBorder="1" applyAlignment="1">
      <alignment horizontal="center" vertical="center"/>
    </xf>
    <xf numFmtId="0" fontId="38" fillId="3" borderId="52" xfId="4" applyFont="1" applyFill="1" applyBorder="1" applyAlignment="1">
      <alignment horizontal="center" vertical="center"/>
    </xf>
    <xf numFmtId="0" fontId="38" fillId="3" borderId="56" xfId="4" applyFont="1" applyFill="1" applyBorder="1" applyAlignment="1">
      <alignment horizontal="center" vertical="center"/>
    </xf>
    <xf numFmtId="0" fontId="38" fillId="3" borderId="9" xfId="4" applyFont="1" applyFill="1" applyBorder="1" applyAlignment="1">
      <alignment horizontal="center" vertical="center"/>
    </xf>
    <xf numFmtId="0" fontId="5" fillId="0" borderId="0" xfId="0" applyFont="1" applyFill="1" applyBorder="1" applyAlignment="1" applyProtection="1">
      <alignment horizontal="left"/>
      <protection locked="0"/>
    </xf>
    <xf numFmtId="2" fontId="16" fillId="3" borderId="32" xfId="0" applyNumberFormat="1" applyFont="1" applyFill="1" applyBorder="1" applyAlignment="1" applyProtection="1">
      <alignment horizontal="center" vertical="center" wrapText="1"/>
    </xf>
    <xf numFmtId="2" fontId="16" fillId="3" borderId="42" xfId="0" applyNumberFormat="1" applyFont="1" applyFill="1" applyBorder="1" applyAlignment="1" applyProtection="1">
      <alignment horizontal="center" vertical="center" wrapText="1"/>
    </xf>
    <xf numFmtId="0" fontId="5" fillId="3" borderId="54" xfId="0" applyFont="1" applyFill="1" applyBorder="1" applyAlignment="1">
      <alignment horizontal="center"/>
    </xf>
    <xf numFmtId="0" fontId="5" fillId="3" borderId="58" xfId="0" applyFont="1" applyFill="1" applyBorder="1" applyAlignment="1">
      <alignment horizontal="center"/>
    </xf>
    <xf numFmtId="0" fontId="5" fillId="3" borderId="87" xfId="0" applyFont="1" applyFill="1" applyBorder="1" applyAlignment="1">
      <alignment horizontal="center"/>
    </xf>
    <xf numFmtId="0" fontId="14" fillId="3" borderId="4" xfId="0" applyFont="1" applyFill="1" applyBorder="1" applyAlignment="1">
      <alignment horizontal="center" vertical="center" wrapText="1"/>
    </xf>
    <xf numFmtId="0" fontId="77" fillId="3" borderId="14" xfId="0" applyFont="1" applyFill="1" applyBorder="1" applyAlignment="1">
      <alignment horizontal="center"/>
    </xf>
    <xf numFmtId="0" fontId="77" fillId="3" borderId="39" xfId="0" applyFont="1" applyFill="1" applyBorder="1" applyAlignment="1">
      <alignment horizontal="center"/>
    </xf>
    <xf numFmtId="0" fontId="77" fillId="3" borderId="35" xfId="0" applyFont="1" applyFill="1" applyBorder="1" applyAlignment="1">
      <alignment horizontal="center"/>
    </xf>
    <xf numFmtId="0" fontId="80" fillId="0" borderId="4" xfId="0" applyFont="1" applyFill="1" applyBorder="1" applyAlignment="1">
      <alignment horizontal="center" vertical="center"/>
    </xf>
    <xf numFmtId="0" fontId="46" fillId="0" borderId="4" xfId="0" applyFont="1" applyFill="1" applyBorder="1" applyAlignment="1">
      <alignment horizontal="center" vertical="center"/>
    </xf>
    <xf numFmtId="0" fontId="87" fillId="0" borderId="4" xfId="0" applyFont="1" applyFill="1" applyBorder="1" applyAlignment="1">
      <alignment horizontal="center" vertical="center" wrapText="1"/>
    </xf>
    <xf numFmtId="0" fontId="74" fillId="0" borderId="14" xfId="0" applyFont="1" applyFill="1" applyBorder="1" applyAlignment="1">
      <alignment horizontal="center" vertical="center"/>
    </xf>
    <xf numFmtId="0" fontId="74" fillId="0" borderId="39" xfId="0" applyFont="1" applyFill="1" applyBorder="1" applyAlignment="1">
      <alignment horizontal="center" vertical="center"/>
    </xf>
    <xf numFmtId="0" fontId="74" fillId="0" borderId="35" xfId="0" applyFont="1" applyFill="1" applyBorder="1" applyAlignment="1">
      <alignment horizontal="center" vertical="center"/>
    </xf>
    <xf numFmtId="0" fontId="87" fillId="21" borderId="4" xfId="0" applyFont="1" applyFill="1" applyBorder="1" applyAlignment="1">
      <alignment horizontal="center" vertical="center" wrapText="1"/>
    </xf>
    <xf numFmtId="0" fontId="80" fillId="0" borderId="4" xfId="0" applyFont="1" applyFill="1" applyBorder="1" applyAlignment="1">
      <alignment horizontal="left" wrapText="1"/>
    </xf>
    <xf numFmtId="0" fontId="80" fillId="0" borderId="4" xfId="0" applyFont="1" applyFill="1" applyBorder="1" applyAlignment="1">
      <alignment horizontal="center" vertical="center" wrapText="1"/>
    </xf>
    <xf numFmtId="0" fontId="80" fillId="0" borderId="14" xfId="0" applyFont="1" applyFill="1" applyBorder="1" applyAlignment="1">
      <alignment horizontal="left"/>
    </xf>
    <xf numFmtId="0" fontId="80" fillId="0" borderId="39" xfId="0" applyFont="1" applyFill="1" applyBorder="1" applyAlignment="1">
      <alignment horizontal="left"/>
    </xf>
    <xf numFmtId="0" fontId="80" fillId="0" borderId="89" xfId="0" applyFont="1" applyFill="1" applyBorder="1" applyAlignment="1">
      <alignment horizontal="left"/>
    </xf>
    <xf numFmtId="0" fontId="80" fillId="0" borderId="29" xfId="0" applyFont="1" applyFill="1" applyBorder="1" applyAlignment="1">
      <alignment horizontal="left"/>
    </xf>
    <xf numFmtId="0" fontId="80" fillId="20" borderId="14" xfId="0" applyFont="1" applyFill="1" applyBorder="1" applyAlignment="1">
      <alignment horizontal="left" wrapText="1"/>
    </xf>
    <xf numFmtId="0" fontId="80" fillId="20" borderId="39" xfId="0" applyFont="1" applyFill="1" applyBorder="1" applyAlignment="1">
      <alignment horizontal="left" wrapText="1"/>
    </xf>
    <xf numFmtId="0" fontId="80" fillId="20" borderId="35" xfId="0" applyFont="1" applyFill="1" applyBorder="1" applyAlignment="1">
      <alignment horizontal="left" wrapText="1"/>
    </xf>
    <xf numFmtId="0" fontId="80" fillId="0" borderId="15" xfId="0" applyFont="1" applyFill="1" applyBorder="1" applyAlignment="1">
      <alignment horizontal="left" vertical="top" wrapText="1"/>
    </xf>
    <xf numFmtId="0" fontId="80" fillId="0" borderId="14" xfId="0" applyFont="1" applyFill="1" applyBorder="1" applyAlignment="1">
      <alignment horizontal="center" vertical="center" wrapText="1"/>
    </xf>
    <xf numFmtId="0" fontId="80" fillId="0" borderId="35" xfId="0" applyFont="1" applyFill="1" applyBorder="1" applyAlignment="1">
      <alignment horizontal="center" vertical="center" wrapText="1"/>
    </xf>
    <xf numFmtId="0" fontId="74" fillId="0" borderId="4" xfId="0" applyFont="1" applyFill="1" applyBorder="1" applyAlignment="1">
      <alignment horizontal="center" vertical="center"/>
    </xf>
    <xf numFmtId="0" fontId="95" fillId="0" borderId="0" xfId="0" applyFont="1" applyAlignment="1">
      <alignment horizontal="right" vertical="center" wrapText="1"/>
    </xf>
    <xf numFmtId="0" fontId="74" fillId="0" borderId="4" xfId="0" applyFont="1" applyBorder="1" applyAlignment="1">
      <alignment horizontal="center" vertical="center"/>
    </xf>
    <xf numFmtId="0" fontId="92" fillId="12" borderId="4" xfId="0" applyFont="1" applyFill="1" applyBorder="1" applyAlignment="1">
      <alignment horizontal="center"/>
    </xf>
    <xf numFmtId="0" fontId="74" fillId="13" borderId="4" xfId="0" applyFont="1" applyFill="1" applyBorder="1" applyAlignment="1">
      <alignment horizontal="center" vertical="center" wrapText="1"/>
    </xf>
    <xf numFmtId="0" fontId="93" fillId="14" borderId="4" xfId="0" applyFont="1" applyFill="1" applyBorder="1" applyAlignment="1">
      <alignment horizontal="center" vertical="center"/>
    </xf>
    <xf numFmtId="0" fontId="93" fillId="15" borderId="4" xfId="0" applyFont="1" applyFill="1" applyBorder="1" applyAlignment="1">
      <alignment horizontal="center" vertical="center"/>
    </xf>
    <xf numFmtId="0" fontId="74" fillId="8" borderId="4" xfId="0" applyFont="1" applyFill="1" applyBorder="1" applyAlignment="1">
      <alignment horizontal="center" vertical="center"/>
    </xf>
    <xf numFmtId="0" fontId="77" fillId="5" borderId="4" xfId="0" applyFont="1" applyFill="1" applyBorder="1" applyAlignment="1">
      <alignment horizontal="center"/>
    </xf>
    <xf numFmtId="0" fontId="74" fillId="5" borderId="4" xfId="0" applyFont="1" applyFill="1" applyBorder="1" applyAlignment="1">
      <alignment horizontal="center" vertical="center" wrapText="1"/>
    </xf>
    <xf numFmtId="0" fontId="77" fillId="7" borderId="4" xfId="0" applyFont="1" applyFill="1" applyBorder="1" applyAlignment="1">
      <alignment horizontal="center" vertical="center"/>
    </xf>
    <xf numFmtId="0" fontId="74" fillId="7" borderId="4" xfId="0" applyFont="1" applyFill="1" applyBorder="1" applyAlignment="1">
      <alignment horizontal="center" vertical="center"/>
    </xf>
    <xf numFmtId="0" fontId="94" fillId="8" borderId="93" xfId="0" applyFont="1" applyFill="1" applyBorder="1" applyAlignment="1">
      <alignment horizontal="center" vertical="center"/>
    </xf>
    <xf numFmtId="0" fontId="94" fillId="8" borderId="63" xfId="0" applyFont="1" applyFill="1" applyBorder="1" applyAlignment="1">
      <alignment horizontal="center" vertical="center"/>
    </xf>
    <xf numFmtId="0" fontId="93" fillId="19" borderId="0" xfId="0" applyFont="1" applyFill="1" applyBorder="1" applyAlignment="1">
      <alignment horizontal="center" vertical="center" wrapText="1"/>
    </xf>
    <xf numFmtId="0" fontId="93" fillId="19" borderId="91" xfId="0" applyFont="1" applyFill="1" applyBorder="1" applyAlignment="1">
      <alignment horizontal="center" vertical="center" wrapText="1"/>
    </xf>
    <xf numFmtId="0" fontId="111" fillId="5" borderId="51" xfId="0" applyFont="1" applyFill="1" applyBorder="1" applyAlignment="1">
      <alignment horizontal="center"/>
    </xf>
    <xf numFmtId="0" fontId="111" fillId="5" borderId="39" xfId="0" applyFont="1" applyFill="1" applyBorder="1" applyAlignment="1">
      <alignment horizontal="center"/>
    </xf>
    <xf numFmtId="0" fontId="111" fillId="5" borderId="53" xfId="0" applyFont="1" applyFill="1" applyBorder="1" applyAlignment="1">
      <alignment horizontal="center"/>
    </xf>
    <xf numFmtId="0" fontId="94" fillId="0" borderId="51" xfId="0" applyFont="1" applyFill="1" applyBorder="1" applyAlignment="1">
      <alignment horizontal="center" vertical="center"/>
    </xf>
    <xf numFmtId="0" fontId="94" fillId="0" borderId="35" xfId="0" applyFont="1" applyFill="1" applyBorder="1" applyAlignment="1">
      <alignment horizontal="center" vertical="center"/>
    </xf>
    <xf numFmtId="0" fontId="94" fillId="5" borderId="51" xfId="0" applyFont="1" applyFill="1" applyBorder="1" applyAlignment="1">
      <alignment horizontal="center" vertical="center"/>
    </xf>
    <xf numFmtId="0" fontId="94" fillId="5" borderId="39" xfId="0" applyFont="1" applyFill="1" applyBorder="1" applyAlignment="1">
      <alignment horizontal="center" vertical="center"/>
    </xf>
    <xf numFmtId="0" fontId="94" fillId="5" borderId="53" xfId="0" applyFont="1" applyFill="1" applyBorder="1" applyAlignment="1">
      <alignment horizontal="center" vertical="center"/>
    </xf>
    <xf numFmtId="0" fontId="108" fillId="0" borderId="28" xfId="0" applyFont="1" applyFill="1" applyBorder="1" applyAlignment="1">
      <alignment horizontal="center" vertical="center"/>
    </xf>
    <xf numFmtId="0" fontId="108" fillId="0" borderId="89" xfId="0" applyFont="1" applyFill="1" applyBorder="1" applyAlignment="1">
      <alignment horizontal="center" vertical="center"/>
    </xf>
    <xf numFmtId="0" fontId="108" fillId="0" borderId="29" xfId="0" applyFont="1" applyFill="1" applyBorder="1" applyAlignment="1">
      <alignment horizontal="center" vertical="center"/>
    </xf>
    <xf numFmtId="0" fontId="108" fillId="0" borderId="16" xfId="0" applyFont="1" applyFill="1" applyBorder="1" applyAlignment="1">
      <alignment horizontal="center" vertical="center"/>
    </xf>
    <xf numFmtId="0" fontId="108" fillId="0" borderId="31" xfId="0" applyFont="1" applyFill="1" applyBorder="1" applyAlignment="1">
      <alignment horizontal="center" vertical="center"/>
    </xf>
    <xf numFmtId="0" fontId="108" fillId="0" borderId="38" xfId="0" applyFont="1" applyFill="1" applyBorder="1" applyAlignment="1">
      <alignment horizontal="center" vertical="center"/>
    </xf>
    <xf numFmtId="0" fontId="94" fillId="0" borderId="65" xfId="0" applyFont="1" applyFill="1" applyBorder="1" applyAlignment="1">
      <alignment horizontal="center" vertical="center"/>
    </xf>
    <xf numFmtId="0" fontId="94" fillId="0" borderId="64" xfId="0" applyFont="1" applyFill="1" applyBorder="1" applyAlignment="1">
      <alignment horizontal="center" vertical="center"/>
    </xf>
    <xf numFmtId="0" fontId="94" fillId="0" borderId="52" xfId="0" applyFont="1" applyFill="1" applyBorder="1" applyAlignment="1">
      <alignment horizontal="center" vertical="center"/>
    </xf>
    <xf numFmtId="0" fontId="94" fillId="0" borderId="56" xfId="0" applyFont="1" applyFill="1" applyBorder="1" applyAlignment="1">
      <alignment horizontal="center" vertical="center"/>
    </xf>
    <xf numFmtId="0" fontId="94" fillId="0" borderId="3" xfId="0" applyFont="1" applyFill="1" applyBorder="1" applyAlignment="1">
      <alignment horizontal="center" vertical="center"/>
    </xf>
    <xf numFmtId="0" fontId="94" fillId="0" borderId="9" xfId="0" applyFont="1" applyFill="1" applyBorder="1" applyAlignment="1">
      <alignment horizontal="center" vertical="center"/>
    </xf>
    <xf numFmtId="0" fontId="92" fillId="12" borderId="14" xfId="0" applyFont="1" applyFill="1" applyBorder="1" applyAlignment="1">
      <alignment horizontal="center"/>
    </xf>
    <xf numFmtId="0" fontId="92" fillId="12" borderId="39" xfId="0" applyFont="1" applyFill="1" applyBorder="1" applyAlignment="1">
      <alignment horizontal="center"/>
    </xf>
    <xf numFmtId="0" fontId="92" fillId="12" borderId="35" xfId="0" applyFont="1" applyFill="1" applyBorder="1" applyAlignment="1">
      <alignment horizontal="center"/>
    </xf>
    <xf numFmtId="0" fontId="74" fillId="13" borderId="15" xfId="0" applyFont="1" applyFill="1" applyBorder="1" applyAlignment="1">
      <alignment horizontal="center" vertical="center" wrapText="1"/>
    </xf>
    <xf numFmtId="0" fontId="74" fillId="13" borderId="9" xfId="0" applyFont="1" applyFill="1" applyBorder="1" applyAlignment="1">
      <alignment horizontal="center" vertical="center" wrapText="1"/>
    </xf>
    <xf numFmtId="0" fontId="93" fillId="14" borderId="14" xfId="0" applyFont="1" applyFill="1" applyBorder="1" applyAlignment="1">
      <alignment horizontal="center" vertical="center"/>
    </xf>
    <xf numFmtId="0" fontId="93" fillId="14" borderId="39" xfId="0" applyFont="1" applyFill="1" applyBorder="1" applyAlignment="1">
      <alignment horizontal="center" vertical="center"/>
    </xf>
    <xf numFmtId="0" fontId="93" fillId="14" borderId="35" xfId="0" applyFont="1" applyFill="1" applyBorder="1" applyAlignment="1">
      <alignment horizontal="center" vertical="center"/>
    </xf>
    <xf numFmtId="0" fontId="93" fillId="15" borderId="14" xfId="0" applyFont="1" applyFill="1" applyBorder="1" applyAlignment="1">
      <alignment horizontal="center" vertical="center"/>
    </xf>
    <xf numFmtId="0" fontId="93" fillId="15" borderId="39" xfId="0" applyFont="1" applyFill="1" applyBorder="1" applyAlignment="1">
      <alignment horizontal="center" vertical="center"/>
    </xf>
    <xf numFmtId="0" fontId="93" fillId="15" borderId="35" xfId="0" applyFont="1" applyFill="1" applyBorder="1" applyAlignment="1">
      <alignment horizontal="center" vertical="center"/>
    </xf>
    <xf numFmtId="0" fontId="74" fillId="8" borderId="15" xfId="0" applyFont="1" applyFill="1" applyBorder="1" applyAlignment="1">
      <alignment horizontal="center" vertical="center"/>
    </xf>
    <xf numFmtId="0" fontId="74" fillId="8" borderId="9" xfId="0" applyFont="1" applyFill="1" applyBorder="1" applyAlignment="1">
      <alignment horizontal="center" vertical="center"/>
    </xf>
    <xf numFmtId="0" fontId="77" fillId="0" borderId="4" xfId="0" applyFont="1" applyFill="1" applyBorder="1" applyAlignment="1">
      <alignment horizontal="left" vertical="center" wrapText="1"/>
    </xf>
    <xf numFmtId="4" fontId="77" fillId="0" borderId="4" xfId="0" applyNumberFormat="1" applyFont="1" applyFill="1" applyBorder="1" applyAlignment="1">
      <alignment horizontal="center" vertical="center" wrapText="1"/>
    </xf>
    <xf numFmtId="10" fontId="77" fillId="0" borderId="4" xfId="0" applyNumberFormat="1" applyFont="1" applyFill="1" applyBorder="1" applyAlignment="1">
      <alignment horizontal="center" vertical="center" wrapText="1"/>
    </xf>
    <xf numFmtId="0" fontId="87" fillId="5" borderId="4" xfId="0" applyFont="1" applyFill="1" applyBorder="1" applyAlignment="1">
      <alignment horizontal="center" vertical="center" wrapText="1"/>
    </xf>
    <xf numFmtId="0" fontId="74" fillId="5" borderId="14" xfId="0" applyFont="1" applyFill="1" applyBorder="1" applyAlignment="1">
      <alignment horizontal="center" vertical="center"/>
    </xf>
    <xf numFmtId="0" fontId="74" fillId="5" borderId="39" xfId="0" applyFont="1" applyFill="1" applyBorder="1" applyAlignment="1">
      <alignment horizontal="center" vertical="center"/>
    </xf>
    <xf numFmtId="0" fontId="74" fillId="5" borderId="35" xfId="0" applyFont="1" applyFill="1" applyBorder="1" applyAlignment="1">
      <alignment horizontal="center" vertical="center"/>
    </xf>
    <xf numFmtId="0" fontId="74" fillId="5" borderId="4" xfId="0" applyFont="1" applyFill="1" applyBorder="1" applyAlignment="1">
      <alignment horizontal="center" vertical="center"/>
    </xf>
    <xf numFmtId="0" fontId="74" fillId="5" borderId="4" xfId="0" applyFont="1" applyFill="1" applyBorder="1" applyAlignment="1">
      <alignment horizontal="center" vertical="center"/>
    </xf>
    <xf numFmtId="10" fontId="74" fillId="0" borderId="4" xfId="0" applyNumberFormat="1" applyFont="1" applyFill="1" applyBorder="1" applyAlignment="1">
      <alignment horizontal="center" vertical="center" wrapText="1"/>
    </xf>
    <xf numFmtId="0" fontId="114" fillId="0" borderId="0" xfId="0" applyFont="1" applyAlignment="1">
      <alignment vertical="center"/>
    </xf>
    <xf numFmtId="0" fontId="0" fillId="0" borderId="0" xfId="0" applyAlignment="1">
      <alignment horizontal="center" vertical="center" wrapText="1"/>
    </xf>
    <xf numFmtId="0" fontId="115" fillId="0" borderId="4" xfId="0" applyFont="1" applyBorder="1" applyAlignment="1">
      <alignment horizontal="center" vertical="center" wrapText="1"/>
    </xf>
    <xf numFmtId="0" fontId="115" fillId="0" borderId="4" xfId="0" applyFont="1" applyBorder="1" applyAlignment="1">
      <alignment horizontal="center" vertical="center" wrapText="1"/>
    </xf>
    <xf numFmtId="0" fontId="71" fillId="0" borderId="4" xfId="0" applyFont="1" applyBorder="1" applyAlignment="1">
      <alignment horizontal="center" vertical="center"/>
    </xf>
    <xf numFmtId="0" fontId="71" fillId="0" borderId="4" xfId="0" applyFont="1" applyBorder="1" applyAlignment="1">
      <alignment horizontal="center" vertical="center" wrapText="1"/>
    </xf>
    <xf numFmtId="8" fontId="71" fillId="0" borderId="4" xfId="0" applyNumberFormat="1" applyFont="1" applyBorder="1" applyAlignment="1">
      <alignment horizontal="center" vertical="center" wrapText="1"/>
    </xf>
    <xf numFmtId="172" fontId="71" fillId="0" borderId="4" xfId="0" applyNumberFormat="1" applyFont="1" applyBorder="1" applyAlignment="1">
      <alignment horizontal="center" vertical="center" wrapText="1"/>
    </xf>
    <xf numFmtId="0" fontId="108" fillId="0" borderId="4" xfId="0" applyFont="1" applyBorder="1" applyAlignment="1">
      <alignment horizontal="center" vertical="center" wrapText="1"/>
    </xf>
    <xf numFmtId="181"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77" fillId="0" borderId="9" xfId="0" applyFont="1" applyBorder="1" applyAlignment="1">
      <alignment horizontal="center" vertical="center" wrapText="1"/>
    </xf>
    <xf numFmtId="183" fontId="77" fillId="0" borderId="9" xfId="2" applyNumberFormat="1" applyFont="1" applyBorder="1" applyAlignment="1">
      <alignment horizontal="center" vertical="center" wrapText="1"/>
    </xf>
    <xf numFmtId="0" fontId="32" fillId="0" borderId="42" xfId="0" applyFont="1" applyBorder="1"/>
    <xf numFmtId="0" fontId="32" fillId="0" borderId="4" xfId="0" applyFont="1" applyBorder="1"/>
    <xf numFmtId="0" fontId="61" fillId="0" borderId="4" xfId="0" applyFont="1" applyBorder="1" applyAlignment="1">
      <alignment horizontal="center" vertical="center" wrapText="1"/>
    </xf>
    <xf numFmtId="0" fontId="32" fillId="0" borderId="44" xfId="0" applyFont="1" applyBorder="1"/>
    <xf numFmtId="0" fontId="32" fillId="0" borderId="45" xfId="0" applyFont="1" applyBorder="1"/>
    <xf numFmtId="0" fontId="61" fillId="0" borderId="45" xfId="0" applyFont="1" applyBorder="1" applyAlignment="1">
      <alignment horizontal="center" vertical="center" wrapText="1"/>
    </xf>
    <xf numFmtId="0" fontId="116" fillId="3" borderId="14" xfId="0" applyFont="1" applyFill="1" applyBorder="1" applyAlignment="1">
      <alignment horizontal="center" vertical="center"/>
    </xf>
    <xf numFmtId="0" fontId="116" fillId="3" borderId="39" xfId="0" applyFont="1" applyFill="1" applyBorder="1" applyAlignment="1">
      <alignment horizontal="center" vertical="center"/>
    </xf>
    <xf numFmtId="0" fontId="116" fillId="3" borderId="39" xfId="0" applyFont="1" applyFill="1" applyBorder="1" applyAlignment="1">
      <alignment vertical="center"/>
    </xf>
    <xf numFmtId="0" fontId="116" fillId="3" borderId="35" xfId="0" applyFont="1" applyFill="1" applyBorder="1" applyAlignment="1">
      <alignment vertical="center"/>
    </xf>
    <xf numFmtId="0" fontId="117" fillId="3" borderId="4" xfId="0" applyFont="1" applyFill="1" applyBorder="1" applyAlignment="1">
      <alignment horizontal="center" vertical="center" wrapText="1"/>
    </xf>
    <xf numFmtId="44" fontId="117" fillId="3" borderId="4" xfId="0" applyNumberFormat="1" applyFont="1" applyFill="1" applyBorder="1" applyAlignment="1">
      <alignment horizontal="center" vertical="center" wrapText="1"/>
    </xf>
    <xf numFmtId="0" fontId="117" fillId="3" borderId="4" xfId="0" applyFont="1" applyFill="1" applyBorder="1" applyAlignment="1">
      <alignment horizontal="center" vertical="center" wrapText="1"/>
    </xf>
    <xf numFmtId="0" fontId="117" fillId="3" borderId="4" xfId="0" applyFont="1" applyFill="1" applyBorder="1" applyAlignment="1">
      <alignment horizontal="center" vertical="center"/>
    </xf>
    <xf numFmtId="0" fontId="116" fillId="0" borderId="14" xfId="0" applyFont="1" applyBorder="1" applyAlignment="1">
      <alignment horizontal="center" vertical="center" wrapText="1"/>
    </xf>
    <xf numFmtId="0" fontId="116" fillId="0" borderId="39" xfId="0" applyFont="1" applyBorder="1" applyAlignment="1">
      <alignment horizontal="center" vertical="center" wrapText="1"/>
    </xf>
    <xf numFmtId="0" fontId="116" fillId="0" borderId="39" xfId="0" applyFont="1" applyBorder="1" applyAlignment="1">
      <alignment vertical="center" wrapText="1"/>
    </xf>
    <xf numFmtId="0" fontId="116" fillId="0" borderId="39" xfId="0" applyFont="1" applyBorder="1" applyAlignment="1">
      <alignment vertical="center"/>
    </xf>
    <xf numFmtId="0" fontId="116" fillId="0" borderId="35" xfId="0" applyFont="1" applyBorder="1" applyAlignment="1">
      <alignment vertical="center"/>
    </xf>
    <xf numFmtId="0" fontId="119" fillId="0" borderId="4" xfId="0" applyFont="1" applyBorder="1" applyAlignment="1">
      <alignment horizontal="center" vertical="center" wrapText="1"/>
    </xf>
    <xf numFmtId="0" fontId="119" fillId="0" borderId="4" xfId="0" applyFont="1" applyBorder="1" applyAlignment="1">
      <alignment horizontal="center" vertical="center" wrapText="1"/>
    </xf>
    <xf numFmtId="44" fontId="120" fillId="0" borderId="4" xfId="0" applyNumberFormat="1" applyFont="1" applyBorder="1" applyAlignment="1">
      <alignment horizontal="center" vertical="center"/>
    </xf>
    <xf numFmtId="2" fontId="120" fillId="0" borderId="4" xfId="0" applyNumberFormat="1" applyFont="1" applyBorder="1" applyAlignment="1">
      <alignment horizontal="center" vertical="center"/>
    </xf>
    <xf numFmtId="0" fontId="119" fillId="0" borderId="4" xfId="0" applyFont="1" applyBorder="1" applyAlignment="1">
      <alignment horizontal="center" vertical="center"/>
    </xf>
    <xf numFmtId="0" fontId="117" fillId="0" borderId="14" xfId="0" applyFont="1" applyBorder="1" applyAlignment="1">
      <alignment horizontal="center" vertical="center" wrapText="1"/>
    </xf>
    <xf numFmtId="0" fontId="117" fillId="0" borderId="39" xfId="0" applyFont="1" applyBorder="1" applyAlignment="1">
      <alignment horizontal="center" vertical="center" wrapText="1"/>
    </xf>
    <xf numFmtId="0" fontId="117" fillId="0" borderId="39" xfId="0" applyFont="1" applyBorder="1" applyAlignment="1">
      <alignment vertical="center" wrapText="1"/>
    </xf>
    <xf numFmtId="0" fontId="117" fillId="0" borderId="39" xfId="0" applyFont="1" applyBorder="1" applyAlignment="1">
      <alignment vertical="center"/>
    </xf>
    <xf numFmtId="0" fontId="117" fillId="0" borderId="35" xfId="0" applyFont="1" applyBorder="1" applyAlignment="1">
      <alignment vertical="center"/>
    </xf>
    <xf numFmtId="2" fontId="120" fillId="0" borderId="4" xfId="0" applyNumberFormat="1" applyFont="1" applyBorder="1" applyAlignment="1">
      <alignment horizontal="center" vertical="center" wrapText="1"/>
    </xf>
    <xf numFmtId="44" fontId="120" fillId="0" borderId="4" xfId="0" applyNumberFormat="1" applyFont="1" applyBorder="1" applyAlignment="1">
      <alignment horizontal="center" vertical="center" wrapText="1"/>
    </xf>
    <xf numFmtId="0" fontId="116" fillId="3" borderId="35" xfId="0" applyFont="1" applyFill="1" applyBorder="1" applyAlignment="1">
      <alignment horizontal="center" vertical="center"/>
    </xf>
    <xf numFmtId="44" fontId="121" fillId="3" borderId="9" xfId="0" applyNumberFormat="1" applyFont="1" applyFill="1" applyBorder="1" applyAlignment="1">
      <alignment horizontal="center" vertical="center"/>
    </xf>
    <xf numFmtId="2" fontId="121" fillId="3" borderId="9" xfId="0" applyNumberFormat="1" applyFont="1" applyFill="1" applyBorder="1" applyAlignment="1">
      <alignment horizontal="center" vertical="center"/>
    </xf>
    <xf numFmtId="2" fontId="117" fillId="0" borderId="0" xfId="0" applyNumberFormat="1" applyFont="1" applyAlignment="1">
      <alignment horizontal="center" vertical="center"/>
    </xf>
    <xf numFmtId="172" fontId="71" fillId="0" borderId="35" xfId="0" applyNumberFormat="1" applyFont="1" applyBorder="1" applyAlignment="1">
      <alignment horizontal="center" vertical="center" wrapText="1"/>
    </xf>
    <xf numFmtId="0" fontId="115" fillId="0" borderId="9" xfId="0" applyFont="1" applyBorder="1" applyAlignment="1">
      <alignment horizontal="center" vertical="center" wrapText="1"/>
    </xf>
    <xf numFmtId="0" fontId="17" fillId="0" borderId="4" xfId="0" applyFont="1" applyBorder="1" applyAlignment="1">
      <alignment horizontal="center" vertical="center"/>
    </xf>
  </cellXfs>
  <cellStyles count="13">
    <cellStyle name="Dziesiętny" xfId="2" builtinId="3"/>
    <cellStyle name="Dziesiętny 2" xfId="9" xr:uid="{00000000-0005-0000-0000-000001000000}"/>
    <cellStyle name="Hiperłącze" xfId="3" builtinId="8"/>
    <cellStyle name="Normal" xfId="12" xr:uid="{00000000-0005-0000-0000-000003000000}"/>
    <cellStyle name="Normalny" xfId="0" builtinId="0"/>
    <cellStyle name="Normalny 2" xfId="4" xr:uid="{00000000-0005-0000-0000-000005000000}"/>
    <cellStyle name="Normalny 2 2" xfId="10" xr:uid="{00000000-0005-0000-0000-000006000000}"/>
    <cellStyle name="Normalny 3" xfId="7" xr:uid="{00000000-0005-0000-0000-000007000000}"/>
    <cellStyle name="Normalny 4" xfId="6" xr:uid="{00000000-0005-0000-0000-000008000000}"/>
    <cellStyle name="Procentowy" xfId="1" builtinId="5"/>
    <cellStyle name="Procentowy 2" xfId="5" xr:uid="{00000000-0005-0000-0000-00000A000000}"/>
    <cellStyle name="Procentowy 2 2" xfId="11" xr:uid="{00000000-0005-0000-0000-00000B000000}"/>
    <cellStyle name="Procentowy 3" xfId="8" xr:uid="{00000000-0005-0000-0000-00000C000000}"/>
  </cellStyles>
  <dxfs count="0"/>
  <tableStyles count="0" defaultTableStyle="TableStyleMedium9" defaultPivotStyle="PivotStyleLight16"/>
  <colors>
    <mruColors>
      <color rgb="FF19D76F"/>
      <color rgb="FFFF9999"/>
      <color rgb="FF32D214"/>
      <color rgb="FF32C210"/>
      <color rgb="FF41E396"/>
      <color rgb="FF32F014"/>
      <color rgb="FF007800"/>
      <color rgb="FF000000"/>
      <color rgb="FF00F000"/>
      <color rgb="FF00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6.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pl-PL"/>
              <a:t>Emisja zanieczyszczeń - budynki komunalne (gminne)    [Mg/rok]</a:t>
            </a:r>
          </a:p>
        </c:rich>
      </c:tx>
      <c:overlay val="1"/>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pl-PL"/>
        </a:p>
      </c:txPr>
    </c:title>
    <c:autoTitleDeleted val="0"/>
    <c:plotArea>
      <c:layout/>
      <c:barChart>
        <c:barDir val="col"/>
        <c:grouping val="clustered"/>
        <c:varyColors val="0"/>
        <c:ser>
          <c:idx val="0"/>
          <c:order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cat>
            <c:strRef>
              <c:f>'Budynki komunalne - emisja'!$AH$4:$AN$4</c:f>
              <c:strCache>
                <c:ptCount val="7"/>
                <c:pt idx="0">
                  <c:v>PM10</c:v>
                </c:pt>
                <c:pt idx="1">
                  <c:v>PM2,5</c:v>
                </c:pt>
                <c:pt idx="2">
                  <c:v>CO2*</c:v>
                </c:pt>
                <c:pt idx="3">
                  <c:v>BaP**</c:v>
                </c:pt>
                <c:pt idx="4">
                  <c:v>SO2</c:v>
                </c:pt>
                <c:pt idx="5">
                  <c:v>N0X</c:v>
                </c:pt>
                <c:pt idx="6">
                  <c:v>CO</c:v>
                </c:pt>
              </c:strCache>
            </c:strRef>
          </c:cat>
          <c:val>
            <c:numRef>
              <c:f>'Budynki komunalne - emisja'!$AH$22:$AN$22</c:f>
              <c:numCache>
                <c:formatCode>0.000</c:formatCode>
                <c:ptCount val="7"/>
                <c:pt idx="0">
                  <c:v>1.2667807369686102</c:v>
                </c:pt>
                <c:pt idx="1">
                  <c:v>1.2055609793446096</c:v>
                </c:pt>
                <c:pt idx="2" formatCode="General">
                  <c:v>3.5815682570181142</c:v>
                </c:pt>
                <c:pt idx="3">
                  <c:v>0.63871204063804443</c:v>
                </c:pt>
                <c:pt idx="4">
                  <c:v>2.0491137077535737</c:v>
                </c:pt>
                <c:pt idx="5">
                  <c:v>0.63454139858429215</c:v>
                </c:pt>
                <c:pt idx="6">
                  <c:v>4.8668855587042019</c:v>
                </c:pt>
              </c:numCache>
            </c:numRef>
          </c:val>
          <c:extLst>
            <c:ext xmlns:c16="http://schemas.microsoft.com/office/drawing/2014/chart" uri="{C3380CC4-5D6E-409C-BE32-E72D297353CC}">
              <c16:uniqueId val="{00000000-9306-4128-9EFF-6DB79BDFB24A}"/>
            </c:ext>
          </c:extLst>
        </c:ser>
        <c:dLbls>
          <c:showLegendKey val="0"/>
          <c:showVal val="0"/>
          <c:showCatName val="0"/>
          <c:showSerName val="0"/>
          <c:showPercent val="0"/>
          <c:showBubbleSize val="0"/>
        </c:dLbls>
        <c:gapWidth val="100"/>
        <c:overlap val="-24"/>
        <c:axId val="192046592"/>
        <c:axId val="191238080"/>
      </c:barChart>
      <c:dateAx>
        <c:axId val="19204659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191238080"/>
        <c:crosses val="autoZero"/>
        <c:auto val="0"/>
        <c:lblOffset val="100"/>
        <c:baseTimeUnit val="days"/>
      </c:dateAx>
      <c:valAx>
        <c:axId val="191238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192046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pl-PL"/>
              <a:t>Emisja zanieczyzczeń - budynki usługowo-użytkowe [Mg/rok]</a:t>
            </a:r>
          </a:p>
        </c:rich>
      </c:tx>
      <c:overlay val="1"/>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pl-PL"/>
        </a:p>
      </c:txPr>
    </c:title>
    <c:autoTitleDeleted val="0"/>
    <c:plotArea>
      <c:layout/>
      <c:barChart>
        <c:barDir val="col"/>
        <c:grouping val="clustered"/>
        <c:varyColors val="0"/>
        <c:ser>
          <c:idx val="0"/>
          <c:order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cat>
            <c:strRef>
              <c:f>'Budynki usł.-użytk. - emisja'!$Y$4:$AE$4</c:f>
              <c:strCache>
                <c:ptCount val="7"/>
                <c:pt idx="0">
                  <c:v>PM 10</c:v>
                </c:pt>
                <c:pt idx="1">
                  <c:v>PM 2,5</c:v>
                </c:pt>
                <c:pt idx="2">
                  <c:v>CO2*</c:v>
                </c:pt>
                <c:pt idx="3">
                  <c:v>BaP**</c:v>
                </c:pt>
                <c:pt idx="4">
                  <c:v>S02</c:v>
                </c:pt>
                <c:pt idx="5">
                  <c:v>N0x</c:v>
                </c:pt>
                <c:pt idx="6">
                  <c:v>CO</c:v>
                </c:pt>
              </c:strCache>
            </c:strRef>
          </c:cat>
          <c:val>
            <c:numRef>
              <c:f>'Budynki usł.-użytk. - emisja'!$Y$23:$AE$23</c:f>
              <c:numCache>
                <c:formatCode>0.000</c:formatCode>
                <c:ptCount val="7"/>
                <c:pt idx="0">
                  <c:v>0.68086610344274079</c:v>
                </c:pt>
                <c:pt idx="1">
                  <c:v>0.62856769259858825</c:v>
                </c:pt>
                <c:pt idx="2" formatCode="General">
                  <c:v>1.8499822764267395</c:v>
                </c:pt>
                <c:pt idx="3">
                  <c:v>0.59255086248893607</c:v>
                </c:pt>
                <c:pt idx="4">
                  <c:v>1.7815996373418383</c:v>
                </c:pt>
                <c:pt idx="5">
                  <c:v>0.35128743887770397</c:v>
                </c:pt>
                <c:pt idx="6">
                  <c:v>4.0585001745018063</c:v>
                </c:pt>
              </c:numCache>
            </c:numRef>
          </c:val>
          <c:extLst>
            <c:ext xmlns:c16="http://schemas.microsoft.com/office/drawing/2014/chart" uri="{C3380CC4-5D6E-409C-BE32-E72D297353CC}">
              <c16:uniqueId val="{00000000-ED05-4D50-AF5A-297C8A46CBD1}"/>
            </c:ext>
          </c:extLst>
        </c:ser>
        <c:dLbls>
          <c:showLegendKey val="0"/>
          <c:showVal val="0"/>
          <c:showCatName val="0"/>
          <c:showSerName val="0"/>
          <c:showPercent val="0"/>
          <c:showBubbleSize val="0"/>
        </c:dLbls>
        <c:gapWidth val="100"/>
        <c:overlap val="-24"/>
        <c:axId val="198875648"/>
        <c:axId val="196213504"/>
      </c:barChart>
      <c:catAx>
        <c:axId val="198875648"/>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196213504"/>
        <c:crosses val="autoZero"/>
        <c:auto val="1"/>
        <c:lblAlgn val="ctr"/>
        <c:lblOffset val="100"/>
        <c:noMultiLvlLbl val="0"/>
      </c:catAx>
      <c:valAx>
        <c:axId val="196213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198875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pl-PL" sz="1200" b="1" i="0" baseline="0">
                <a:effectLst/>
              </a:rPr>
              <a:t>Struktura zużycia energii z poszczególnych paliw - budynki usługowo-użytkowe [GJ/rok] </a:t>
            </a:r>
            <a:endParaRPr lang="pl-PL" sz="1200">
              <a:effectLst/>
            </a:endParaRPr>
          </a:p>
        </c:rich>
      </c:tx>
      <c:layout>
        <c:manualLayout>
          <c:xMode val="edge"/>
          <c:yMode val="edge"/>
          <c:x val="0.12244045630280177"/>
          <c:y val="1.4492753623188406E-2"/>
        </c:manualLayout>
      </c:layout>
      <c:overlay val="1"/>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pl-PL"/>
        </a:p>
      </c:txPr>
    </c:title>
    <c:autoTitleDeleted val="0"/>
    <c:plotArea>
      <c:layout>
        <c:manualLayout>
          <c:layoutTarget val="inner"/>
          <c:xMode val="edge"/>
          <c:yMode val="edge"/>
          <c:x val="8.0157072852528918E-2"/>
          <c:y val="0.21683527330822777"/>
          <c:w val="0.53623116637232904"/>
          <c:h val="0.76922828939860777"/>
        </c:manualLayout>
      </c:layout>
      <c:pieChart>
        <c:varyColors val="1"/>
        <c:ser>
          <c:idx val="0"/>
          <c:order val="0"/>
          <c:dPt>
            <c:idx val="0"/>
            <c:bubble3D val="0"/>
            <c:spPr>
              <a:solidFill>
                <a:schemeClr val="accent6"/>
              </a:solidFill>
              <a:ln>
                <a:noFill/>
              </a:ln>
              <a:effectLst/>
            </c:spPr>
            <c:extLst>
              <c:ext xmlns:c16="http://schemas.microsoft.com/office/drawing/2014/chart" uri="{C3380CC4-5D6E-409C-BE32-E72D297353CC}">
                <c16:uniqueId val="{00000001-8EA0-4F7D-A2FB-442945E557C8}"/>
              </c:ext>
            </c:extLst>
          </c:dPt>
          <c:dPt>
            <c:idx val="1"/>
            <c:bubble3D val="0"/>
            <c:spPr>
              <a:solidFill>
                <a:schemeClr val="accent4"/>
              </a:solidFill>
              <a:ln>
                <a:noFill/>
              </a:ln>
              <a:effectLst/>
            </c:spPr>
            <c:extLst>
              <c:ext xmlns:c16="http://schemas.microsoft.com/office/drawing/2014/chart" uri="{C3380CC4-5D6E-409C-BE32-E72D297353CC}">
                <c16:uniqueId val="{00000003-8EA0-4F7D-A2FB-442945E557C8}"/>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pl-PL"/>
              </a:p>
            </c:txPr>
            <c:dLblPos val="bestFit"/>
            <c:showLegendKey val="0"/>
            <c:showVal val="1"/>
            <c:showCatName val="0"/>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'Budynki usł.-użytk. - emisja'!$AG$5:$AG$11</c15:sqref>
                  </c15:fullRef>
                </c:ext>
              </c:extLst>
              <c:f>('Budynki usł.-użytk. - emisja'!$AG$5,'Budynki usł.-użytk. - emisja'!$AG$7)</c:f>
              <c:strCache>
                <c:ptCount val="2"/>
                <c:pt idx="0">
                  <c:v>węgiel</c:v>
                </c:pt>
                <c:pt idx="1">
                  <c:v>drewno</c:v>
                </c:pt>
              </c:strCache>
            </c:strRef>
          </c:cat>
          <c:val>
            <c:numRef>
              <c:extLst>
                <c:ext xmlns:c15="http://schemas.microsoft.com/office/drawing/2012/chart" uri="{02D57815-91ED-43cb-92C2-25804820EDAC}">
                  <c15:fullRef>
                    <c15:sqref>'Budynki usł.-użytk. - emisja'!$AH$5:$AH$11</c15:sqref>
                  </c15:fullRef>
                </c:ext>
              </c:extLst>
              <c:f>('Budynki usł.-użytk. - emisja'!$AH$5,'Budynki usł.-użytk. - emisja'!$AH$7)</c:f>
              <c:numCache>
                <c:formatCode>_-* #\ ##0\ _z_ł_-;\-* #\ ##0\ _z_ł_-;_-* "-"??\ _z_ł_-;_-@_-</c:formatCode>
                <c:ptCount val="2"/>
                <c:pt idx="0">
                  <c:v>1973.5249375151907</c:v>
                </c:pt>
                <c:pt idx="1">
                  <c:v>493.38123437879767</c:v>
                </c:pt>
              </c:numCache>
            </c:numRef>
          </c:val>
          <c:extLst>
            <c:ext xmlns:c15="http://schemas.microsoft.com/office/drawing/2012/chart" uri="{02D57815-91ED-43cb-92C2-25804820EDAC}">
              <c15:categoryFilterExceptions>
                <c15:categoryFilterException>
                  <c15:sqref>'Budynki usł.-użytk. - emisja'!$AH$6</c15:sqref>
                  <c15:spPr xmlns:c15="http://schemas.microsoft.com/office/drawing/2012/chart">
                    <a:solidFill>
                      <a:schemeClr val="accent5"/>
                    </a:solidFill>
                    <a:ln>
                      <a:noFill/>
                    </a:ln>
                    <a:effectLst/>
                  </c15:spPr>
                  <c15:bubble3D val="0"/>
                </c15:categoryFilterException>
                <c15:categoryFilterException>
                  <c15:sqref>'Budynki usł.-użytk. - emisja'!$AH$10</c15:sqref>
                  <c15:spPr xmlns:c15="http://schemas.microsoft.com/office/drawing/2012/chart">
                    <a:solidFill>
                      <a:schemeClr val="accent4">
                        <a:lumMod val="60000"/>
                      </a:schemeClr>
                    </a:solidFill>
                    <a:ln>
                      <a:noFill/>
                    </a:ln>
                    <a:effectLst/>
                  </c15:spPr>
                  <c15:bubble3D val="0"/>
                </c15:categoryFilterException>
              </c15:categoryFilterExceptions>
            </c:ext>
            <c:ext xmlns:c16="http://schemas.microsoft.com/office/drawing/2014/chart" uri="{C3380CC4-5D6E-409C-BE32-E72D297353CC}">
              <c16:uniqueId val="{00000004-8EA0-4F7D-A2FB-442945E557C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000" b="0" i="0" u="none" strike="noStrike" kern="1200" baseline="0">
              <a:solidFill>
                <a:schemeClr val="tx1"/>
              </a:solidFill>
              <a:latin typeface="+mn-lt"/>
              <a:ea typeface="+mn-ea"/>
              <a:cs typeface="+mn-cs"/>
            </a:defRPr>
          </a:pPr>
          <a:endParaRPr lang="pl-PL"/>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pl-P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pl-PL"/>
              <a:t>Emisja zanieczyszczeń - transport [Mg/rok]</a:t>
            </a:r>
          </a:p>
        </c:rich>
      </c:tx>
      <c:overlay val="1"/>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pl-PL"/>
        </a:p>
      </c:txPr>
    </c:title>
    <c:autoTitleDeleted val="0"/>
    <c:plotArea>
      <c:layout/>
      <c:barChart>
        <c:barDir val="col"/>
        <c:grouping val="clustered"/>
        <c:varyColors val="0"/>
        <c:ser>
          <c:idx val="0"/>
          <c:order val="0"/>
          <c:tx>
            <c:strRef>
              <c:f>'Łączna emisja'!$C$3:$I$3</c:f>
              <c:strCache>
                <c:ptCount val="7"/>
                <c:pt idx="0">
                  <c:v>PM 10</c:v>
                </c:pt>
                <c:pt idx="1">
                  <c:v>PM 2,5</c:v>
                </c:pt>
                <c:pt idx="2">
                  <c:v>CO2*</c:v>
                </c:pt>
                <c:pt idx="3">
                  <c:v>BaP**</c:v>
                </c:pt>
                <c:pt idx="4">
                  <c:v>SO2</c:v>
                </c:pt>
                <c:pt idx="5">
                  <c:v>NOx</c:v>
                </c:pt>
                <c:pt idx="6">
                  <c:v>CO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cat>
            <c:strRef>
              <c:f>'Łączna emisja'!$C$3:$I$3</c:f>
              <c:strCache>
                <c:ptCount val="7"/>
                <c:pt idx="0">
                  <c:v>PM 10</c:v>
                </c:pt>
                <c:pt idx="1">
                  <c:v>PM 2,5</c:v>
                </c:pt>
                <c:pt idx="2">
                  <c:v>CO2*</c:v>
                </c:pt>
                <c:pt idx="3">
                  <c:v>BaP**</c:v>
                </c:pt>
                <c:pt idx="4">
                  <c:v>SO2</c:v>
                </c:pt>
                <c:pt idx="5">
                  <c:v>NOx</c:v>
                </c:pt>
                <c:pt idx="6">
                  <c:v>CO</c:v>
                </c:pt>
              </c:strCache>
            </c:strRef>
          </c:cat>
          <c:val>
            <c:numRef>
              <c:f>'Transport - emisja'!$L$24:$R$24</c:f>
              <c:numCache>
                <c:formatCode>_(* #\ ##0.00_);_(* \(#\ ##0.00\);_(* "-"??_);_(@_)</c:formatCode>
                <c:ptCount val="7"/>
                <c:pt idx="0">
                  <c:v>2.2562840805249998E-3</c:v>
                </c:pt>
                <c:pt idx="1">
                  <c:v>0.22562840805249998</c:v>
                </c:pt>
                <c:pt idx="2">
                  <c:v>28.895309835355505</c:v>
                </c:pt>
                <c:pt idx="3">
                  <c:v>2.5791658945404001E-4</c:v>
                </c:pt>
                <c:pt idx="4">
                  <c:v>1.7347284531199998E-2</c:v>
                </c:pt>
                <c:pt idx="5">
                  <c:v>16.556573977315001</c:v>
                </c:pt>
                <c:pt idx="6">
                  <c:v>47.930495489046073</c:v>
                </c:pt>
              </c:numCache>
            </c:numRef>
          </c:val>
          <c:extLst>
            <c:ext xmlns:c16="http://schemas.microsoft.com/office/drawing/2014/chart" uri="{C3380CC4-5D6E-409C-BE32-E72D297353CC}">
              <c16:uniqueId val="{00000000-635C-4B0A-BFB9-3697A0EE6793}"/>
            </c:ext>
          </c:extLst>
        </c:ser>
        <c:dLbls>
          <c:showLegendKey val="0"/>
          <c:showVal val="0"/>
          <c:showCatName val="0"/>
          <c:showSerName val="0"/>
          <c:showPercent val="0"/>
          <c:showBubbleSize val="0"/>
        </c:dLbls>
        <c:gapWidth val="100"/>
        <c:overlap val="-24"/>
        <c:axId val="198824960"/>
        <c:axId val="198906944"/>
      </c:barChart>
      <c:catAx>
        <c:axId val="19882496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198906944"/>
        <c:crosses val="autoZero"/>
        <c:auto val="1"/>
        <c:lblAlgn val="ctr"/>
        <c:lblOffset val="100"/>
        <c:noMultiLvlLbl val="0"/>
      </c:catAx>
      <c:valAx>
        <c:axId val="1989069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198824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Zużycie energii w ujęciu globalnym w gminie [GJ/rok]</a:t>
            </a:r>
          </a:p>
        </c:rich>
      </c:tx>
      <c:overlay val="1"/>
    </c:title>
    <c:autoTitleDeleted val="0"/>
    <c:plotArea>
      <c:layout>
        <c:manualLayout>
          <c:layoutTarget val="inner"/>
          <c:xMode val="edge"/>
          <c:yMode val="edge"/>
          <c:x val="0.11324228414402622"/>
          <c:y val="0.13805552443211844"/>
          <c:w val="0.44755097872656463"/>
          <c:h val="0.76481489377102696"/>
        </c:manualLayout>
      </c:layout>
      <c:pieChart>
        <c:varyColors val="1"/>
        <c:ser>
          <c:idx val="0"/>
          <c:order val="0"/>
          <c:dLbls>
            <c:dLbl>
              <c:idx val="2"/>
              <c:layout>
                <c:manualLayout>
                  <c:x val="-1.6207040007798247E-2"/>
                  <c:y val="-6.22808069971215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47-4DA3-921A-E4FF52501C52}"/>
                </c:ext>
              </c:extLst>
            </c:dLbl>
            <c:dLbl>
              <c:idx val="4"/>
              <c:layout>
                <c:manualLayout>
                  <c:x val="-1.5569660869040491E-2"/>
                  <c:y val="4.49144248702813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47-4DA3-921A-E4FF52501C52}"/>
                </c:ext>
              </c:extLst>
            </c:dLbl>
            <c:dLbl>
              <c:idx val="16"/>
              <c:layout>
                <c:manualLayout>
                  <c:x val="4.4137127320326972E-2"/>
                  <c:y val="6.05882428765062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47-4DA3-921A-E4FF52501C52}"/>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'Energia łącznie'!$A$3:$A$12</c15:sqref>
                  </c15:fullRef>
                </c:ext>
              </c:extLst>
              <c:f>('Energia łącznie'!$A$3:$A$7,'Energia łącznie'!$A$10:$A$12)</c:f>
              <c:strCache>
                <c:ptCount val="6"/>
                <c:pt idx="0">
                  <c:v>Budynki mieszkalne jednorodzinne - potrzeby grzewcze</c:v>
                </c:pt>
                <c:pt idx="1">
                  <c:v>Budynki komunalne (gminne) - potrzeby grzewcze</c:v>
                </c:pt>
                <c:pt idx="2">
                  <c:v>Oświetlenie uliczne - energia elektryczna </c:v>
                </c:pt>
                <c:pt idx="3">
                  <c:v>Transport - energia zawarta w paliwach</c:v>
                </c:pt>
                <c:pt idx="4">
                  <c:v>Budynki komunalne, urządzenia (gminne) - energia elektryczna (bez ogrzewania)</c:v>
                </c:pt>
                <c:pt idx="5">
                  <c:v>Budynki usługowo-użytkowe - potrzeby grzewcze</c:v>
                </c:pt>
              </c:strCache>
            </c:strRef>
          </c:cat>
          <c:val>
            <c:numRef>
              <c:extLst>
                <c:ext xmlns:c15="http://schemas.microsoft.com/office/drawing/2012/chart" uri="{02D57815-91ED-43cb-92C2-25804820EDAC}">
                  <c15:fullRef>
                    <c15:sqref>'Energia łącznie'!$B$3:$B$12</c15:sqref>
                  </c15:fullRef>
                </c:ext>
              </c:extLst>
              <c:f>('Energia łącznie'!$B$3:$B$7,'Energia łącznie'!$B$10:$B$12)</c:f>
              <c:numCache>
                <c:formatCode>#,##0</c:formatCode>
                <c:ptCount val="6"/>
                <c:pt idx="0">
                  <c:v>81196.961570980711</c:v>
                </c:pt>
                <c:pt idx="1">
                  <c:v>5742.0970296124997</c:v>
                </c:pt>
                <c:pt idx="2">
                  <c:v>777.83039999999994</c:v>
                </c:pt>
                <c:pt idx="3">
                  <c:v>40213.850456512504</c:v>
                </c:pt>
                <c:pt idx="4">
                  <c:v>651.9319999999999</c:v>
                </c:pt>
                <c:pt idx="5">
                  <c:v>2466.9061718939884</c:v>
                </c:pt>
              </c:numCache>
            </c:numRef>
          </c:val>
          <c:extLst>
            <c:ext xmlns:c16="http://schemas.microsoft.com/office/drawing/2014/chart" uri="{C3380CC4-5D6E-409C-BE32-E72D297353CC}">
              <c16:uniqueId val="{00000003-2C47-4DA3-921A-E4FF52501C52}"/>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0771562388306344"/>
          <c:y val="0.12013387815323109"/>
          <c:w val="0.38123105559501097"/>
          <c:h val="0.82269523236317443"/>
        </c:manualLayout>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pl-PL" sz="1100"/>
              <a:t>Struktura zużycia - wszystkie sektory w gminie [GJ/rok]</a:t>
            </a:r>
          </a:p>
        </c:rich>
      </c:tx>
      <c:overlay val="1"/>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pl-PL"/>
        </a:p>
      </c:txPr>
    </c:title>
    <c:autoTitleDeleted val="0"/>
    <c:plotArea>
      <c:layout>
        <c:manualLayout>
          <c:layoutTarget val="inner"/>
          <c:xMode val="edge"/>
          <c:yMode val="edge"/>
          <c:x val="4.7117691219861375E-2"/>
          <c:y val="0"/>
          <c:w val="0.63266814486326683"/>
          <c:h val="0.9907407407407407"/>
        </c:manualLayout>
      </c:layout>
      <c:pieChart>
        <c:varyColors val="1"/>
        <c:ser>
          <c:idx val="0"/>
          <c:order val="0"/>
          <c:dPt>
            <c:idx val="0"/>
            <c:bubble3D val="0"/>
            <c:spPr>
              <a:solidFill>
                <a:schemeClr val="accent6"/>
              </a:solidFill>
              <a:ln>
                <a:noFill/>
              </a:ln>
              <a:effectLst/>
            </c:spPr>
            <c:extLst>
              <c:ext xmlns:c16="http://schemas.microsoft.com/office/drawing/2014/chart" uri="{C3380CC4-5D6E-409C-BE32-E72D297353CC}">
                <c16:uniqueId val="{00000001-2AD5-4B13-B984-DC571364FA1F}"/>
              </c:ext>
            </c:extLst>
          </c:dPt>
          <c:dPt>
            <c:idx val="1"/>
            <c:bubble3D val="0"/>
            <c:spPr>
              <a:solidFill>
                <a:schemeClr val="accent5"/>
              </a:solidFill>
              <a:ln>
                <a:noFill/>
              </a:ln>
              <a:effectLst/>
            </c:spPr>
            <c:extLst>
              <c:ext xmlns:c16="http://schemas.microsoft.com/office/drawing/2014/chart" uri="{C3380CC4-5D6E-409C-BE32-E72D297353CC}">
                <c16:uniqueId val="{00000003-2AD5-4B13-B984-DC571364FA1F}"/>
              </c:ext>
            </c:extLst>
          </c:dPt>
          <c:dPt>
            <c:idx val="2"/>
            <c:bubble3D val="0"/>
            <c:spPr>
              <a:solidFill>
                <a:schemeClr val="accent4"/>
              </a:solidFill>
              <a:ln>
                <a:noFill/>
              </a:ln>
              <a:effectLst/>
            </c:spPr>
            <c:extLst>
              <c:ext xmlns:c16="http://schemas.microsoft.com/office/drawing/2014/chart" uri="{C3380CC4-5D6E-409C-BE32-E72D297353CC}">
                <c16:uniqueId val="{00000005-2AD5-4B13-B984-DC571364FA1F}"/>
              </c:ext>
            </c:extLst>
          </c:dPt>
          <c:dPt>
            <c:idx val="3"/>
            <c:bubble3D val="0"/>
            <c:spPr>
              <a:solidFill>
                <a:schemeClr val="accent6">
                  <a:lumMod val="60000"/>
                </a:schemeClr>
              </a:solidFill>
              <a:ln>
                <a:noFill/>
              </a:ln>
              <a:effectLst/>
            </c:spPr>
            <c:extLst>
              <c:ext xmlns:c16="http://schemas.microsoft.com/office/drawing/2014/chart" uri="{C3380CC4-5D6E-409C-BE32-E72D297353CC}">
                <c16:uniqueId val="{00000007-2AD5-4B13-B984-DC571364FA1F}"/>
              </c:ext>
            </c:extLst>
          </c:dPt>
          <c:dPt>
            <c:idx val="4"/>
            <c:bubble3D val="0"/>
            <c:spPr>
              <a:solidFill>
                <a:schemeClr val="accent5">
                  <a:lumMod val="60000"/>
                </a:schemeClr>
              </a:solidFill>
              <a:ln>
                <a:noFill/>
              </a:ln>
              <a:effectLst/>
            </c:spPr>
          </c:dPt>
          <c:dPt>
            <c:idx val="5"/>
            <c:bubble3D val="0"/>
            <c:spPr>
              <a:solidFill>
                <a:schemeClr val="accent4">
                  <a:lumMod val="60000"/>
                </a:schemeClr>
              </a:solidFill>
              <a:ln>
                <a:noFill/>
              </a:ln>
              <a:effectLst/>
            </c:spPr>
            <c:extLst>
              <c:ext xmlns:c16="http://schemas.microsoft.com/office/drawing/2014/chart" uri="{C3380CC4-5D6E-409C-BE32-E72D297353CC}">
                <c16:uniqueId val="{00000009-AB99-4C3E-BA2D-E18DC8E5FA1B}"/>
              </c:ext>
            </c:extLst>
          </c:dPt>
          <c:dPt>
            <c:idx val="6"/>
            <c:bubble3D val="0"/>
            <c:spPr>
              <a:solidFill>
                <a:schemeClr val="accent6">
                  <a:lumMod val="80000"/>
                  <a:lumOff val="20000"/>
                </a:schemeClr>
              </a:solidFill>
              <a:ln>
                <a:noFill/>
              </a:ln>
              <a:effectLst/>
            </c:spPr>
          </c:dPt>
          <c:dPt>
            <c:idx val="7"/>
            <c:bubble3D val="0"/>
            <c:spPr>
              <a:solidFill>
                <a:schemeClr val="accent5">
                  <a:lumMod val="80000"/>
                  <a:lumOff val="20000"/>
                </a:schemeClr>
              </a:solidFill>
              <a:ln>
                <a:noFill/>
              </a:ln>
              <a:effectLst/>
            </c:spPr>
          </c:dPt>
          <c:dPt>
            <c:idx val="8"/>
            <c:bubble3D val="0"/>
            <c:spPr>
              <a:solidFill>
                <a:schemeClr val="accent4">
                  <a:lumMod val="80000"/>
                  <a:lumOff val="20000"/>
                </a:schemeClr>
              </a:solidFill>
              <a:ln>
                <a:noFill/>
              </a:ln>
              <a:effectLst/>
            </c:spPr>
            <c:extLst>
              <c:ext xmlns:c16="http://schemas.microsoft.com/office/drawing/2014/chart" uri="{C3380CC4-5D6E-409C-BE32-E72D297353CC}">
                <c16:uniqueId val="{00000009-CCA4-4070-891D-D9503362671A}"/>
              </c:ext>
            </c:extLst>
          </c:dPt>
          <c:dPt>
            <c:idx val="9"/>
            <c:bubble3D val="0"/>
            <c:spPr>
              <a:solidFill>
                <a:schemeClr val="accent6">
                  <a:lumMod val="80000"/>
                </a:schemeClr>
              </a:solidFill>
              <a:ln>
                <a:noFill/>
              </a:ln>
              <a:effectLst/>
            </c:spPr>
            <c:extLst>
              <c:ext xmlns:c16="http://schemas.microsoft.com/office/drawing/2014/chart" uri="{C3380CC4-5D6E-409C-BE32-E72D297353CC}">
                <c16:uniqueId val="{0000000D-AB99-4C3E-BA2D-E18DC8E5FA1B}"/>
              </c:ext>
            </c:extLst>
          </c:dPt>
          <c:dPt>
            <c:idx val="10"/>
            <c:bubble3D val="0"/>
            <c:spPr>
              <a:solidFill>
                <a:schemeClr val="accent5">
                  <a:lumMod val="80000"/>
                </a:schemeClr>
              </a:solidFill>
              <a:ln>
                <a:noFill/>
              </a:ln>
              <a:effectLst/>
            </c:spPr>
            <c:extLst>
              <c:ext xmlns:c16="http://schemas.microsoft.com/office/drawing/2014/chart" uri="{C3380CC4-5D6E-409C-BE32-E72D297353CC}">
                <c16:uniqueId val="{0000000F-AB99-4C3E-BA2D-E18DC8E5FA1B}"/>
              </c:ext>
            </c:extLst>
          </c:dPt>
          <c:dPt>
            <c:idx val="11"/>
            <c:bubble3D val="0"/>
            <c:spPr>
              <a:solidFill>
                <a:schemeClr val="accent4">
                  <a:lumMod val="80000"/>
                </a:schemeClr>
              </a:solidFill>
              <a:ln>
                <a:noFill/>
              </a:ln>
              <a:effectLst/>
            </c:spPr>
            <c:extLst>
              <c:ext xmlns:c16="http://schemas.microsoft.com/office/drawing/2014/chart" uri="{C3380CC4-5D6E-409C-BE32-E72D297353CC}">
                <c16:uniqueId val="{00000009-2D6E-4CD3-BB75-173B1374B7D7}"/>
              </c:ext>
            </c:extLst>
          </c:dPt>
          <c:dPt>
            <c:idx val="12"/>
            <c:bubble3D val="0"/>
            <c:spPr>
              <a:solidFill>
                <a:schemeClr val="accent6">
                  <a:lumMod val="60000"/>
                  <a:lumOff val="40000"/>
                </a:schemeClr>
              </a:solidFill>
              <a:ln>
                <a:noFill/>
              </a:ln>
              <a:effectLst/>
            </c:spPr>
            <c:extLst>
              <c:ext xmlns:c16="http://schemas.microsoft.com/office/drawing/2014/chart" uri="{C3380CC4-5D6E-409C-BE32-E72D297353CC}">
                <c16:uniqueId val="{0000000D-CCA4-4070-891D-D9503362671A}"/>
              </c:ext>
            </c:extLst>
          </c:dPt>
          <c:dPt>
            <c:idx val="13"/>
            <c:bubble3D val="0"/>
            <c:spPr>
              <a:solidFill>
                <a:schemeClr val="accent5">
                  <a:lumMod val="60000"/>
                  <a:lumOff val="40000"/>
                </a:schemeClr>
              </a:solidFill>
              <a:ln>
                <a:noFill/>
              </a:ln>
              <a:effectLst/>
            </c:spPr>
            <c:extLst>
              <c:ext xmlns:c16="http://schemas.microsoft.com/office/drawing/2014/chart" uri="{C3380CC4-5D6E-409C-BE32-E72D297353CC}">
                <c16:uniqueId val="{0000000F-CCA4-4070-891D-D9503362671A}"/>
              </c:ext>
            </c:extLst>
          </c:dPt>
          <c:dPt>
            <c:idx val="14"/>
            <c:bubble3D val="0"/>
            <c:spPr>
              <a:solidFill>
                <a:schemeClr val="accent4">
                  <a:lumMod val="60000"/>
                  <a:lumOff val="40000"/>
                </a:schemeClr>
              </a:solidFill>
              <a:ln>
                <a:noFill/>
              </a:ln>
              <a:effectLst/>
            </c:spPr>
            <c:extLst>
              <c:ext xmlns:c16="http://schemas.microsoft.com/office/drawing/2014/chart" uri="{C3380CC4-5D6E-409C-BE32-E72D297353CC}">
                <c16:uniqueId val="{00000009-2AD5-4B13-B984-DC571364FA1F}"/>
              </c:ext>
            </c:extLst>
          </c:dPt>
          <c:dPt>
            <c:idx val="15"/>
            <c:bubble3D val="0"/>
            <c:spPr>
              <a:solidFill>
                <a:schemeClr val="accent6">
                  <a:lumMod val="50000"/>
                </a:schemeClr>
              </a:solidFill>
              <a:ln>
                <a:noFill/>
              </a:ln>
              <a:effectLst/>
            </c:spPr>
            <c:extLst>
              <c:ext xmlns:c16="http://schemas.microsoft.com/office/drawing/2014/chart" uri="{C3380CC4-5D6E-409C-BE32-E72D297353CC}">
                <c16:uniqueId val="{0000000D-2D6E-4CD3-BB75-173B1374B7D7}"/>
              </c:ext>
            </c:extLst>
          </c:dPt>
          <c:dPt>
            <c:idx val="16"/>
            <c:bubble3D val="0"/>
            <c:spPr>
              <a:solidFill>
                <a:schemeClr val="accent5">
                  <a:lumMod val="50000"/>
                </a:schemeClr>
              </a:solidFill>
              <a:ln>
                <a:noFill/>
              </a:ln>
              <a:effectLst/>
            </c:spPr>
            <c:extLst>
              <c:ext xmlns:c16="http://schemas.microsoft.com/office/drawing/2014/chart" uri="{C3380CC4-5D6E-409C-BE32-E72D297353CC}">
                <c16:uniqueId val="{0000000F-2D6E-4CD3-BB75-173B1374B7D7}"/>
              </c:ext>
            </c:extLst>
          </c:dPt>
          <c:dPt>
            <c:idx val="17"/>
            <c:bubble3D val="0"/>
            <c:spPr>
              <a:solidFill>
                <a:schemeClr val="accent4">
                  <a:lumMod val="50000"/>
                </a:schemeClr>
              </a:solidFill>
              <a:ln>
                <a:noFill/>
              </a:ln>
              <a:effectLst/>
            </c:spPr>
            <c:extLst>
              <c:ext xmlns:c16="http://schemas.microsoft.com/office/drawing/2014/chart" uri="{C3380CC4-5D6E-409C-BE32-E72D297353CC}">
                <c16:uniqueId val="{0000000B-2AD5-4B13-B984-DC571364FA1F}"/>
              </c:ext>
            </c:extLst>
          </c:dPt>
          <c:dPt>
            <c:idx val="18"/>
            <c:bubble3D val="0"/>
            <c:spPr>
              <a:solidFill>
                <a:schemeClr val="accent6">
                  <a:lumMod val="70000"/>
                  <a:lumOff val="30000"/>
                </a:schemeClr>
              </a:solidFill>
              <a:ln>
                <a:noFill/>
              </a:ln>
              <a:effectLst/>
            </c:spPr>
            <c:extLst>
              <c:ext xmlns:c16="http://schemas.microsoft.com/office/drawing/2014/chart" uri="{C3380CC4-5D6E-409C-BE32-E72D297353CC}">
                <c16:uniqueId val="{0000000D-2AD5-4B13-B984-DC571364FA1F}"/>
              </c:ext>
            </c:extLst>
          </c:dPt>
          <c:dPt>
            <c:idx val="19"/>
            <c:bubble3D val="0"/>
            <c:spPr>
              <a:solidFill>
                <a:schemeClr val="accent5">
                  <a:lumMod val="70000"/>
                  <a:lumOff val="30000"/>
                </a:schemeClr>
              </a:solidFill>
              <a:ln>
                <a:noFill/>
              </a:ln>
              <a:effectLst/>
            </c:spPr>
            <c:extLst>
              <c:ext xmlns:c16="http://schemas.microsoft.com/office/drawing/2014/chart" uri="{C3380CC4-5D6E-409C-BE32-E72D297353CC}">
                <c16:uniqueId val="{0000000F-2AD5-4B13-B984-DC571364FA1F}"/>
              </c:ext>
            </c:extLst>
          </c:dPt>
          <c:dPt>
            <c:idx val="20"/>
            <c:bubble3D val="0"/>
            <c:spPr>
              <a:solidFill>
                <a:schemeClr val="accent4">
                  <a:lumMod val="70000"/>
                  <a:lumOff val="30000"/>
                </a:schemeClr>
              </a:solidFill>
              <a:ln>
                <a:noFill/>
              </a:ln>
              <a:effectLst/>
            </c:spPr>
            <c:extLst>
              <c:ext xmlns:c16="http://schemas.microsoft.com/office/drawing/2014/chart" uri="{C3380CC4-5D6E-409C-BE32-E72D297353CC}">
                <c16:uniqueId val="{00000011-2AD5-4B13-B984-DC571364FA1F}"/>
              </c:ext>
            </c:extLst>
          </c:dPt>
          <c:dPt>
            <c:idx val="21"/>
            <c:bubble3D val="0"/>
            <c:spPr>
              <a:solidFill>
                <a:schemeClr val="accent6">
                  <a:lumMod val="70000"/>
                </a:schemeClr>
              </a:solidFill>
              <a:ln>
                <a:noFill/>
              </a:ln>
              <a:effectLst/>
            </c:spPr>
            <c:extLst>
              <c:ext xmlns:c16="http://schemas.microsoft.com/office/drawing/2014/chart" uri="{C3380CC4-5D6E-409C-BE32-E72D297353CC}">
                <c16:uniqueId val="{00000013-2AD5-4B13-B984-DC571364FA1F}"/>
              </c:ext>
            </c:extLst>
          </c:dPt>
          <c:dPt>
            <c:idx val="22"/>
            <c:bubble3D val="0"/>
            <c:spPr>
              <a:solidFill>
                <a:schemeClr val="accent5">
                  <a:lumMod val="70000"/>
                </a:schemeClr>
              </a:solidFill>
              <a:ln>
                <a:noFill/>
              </a:ln>
              <a:effectLst/>
            </c:spPr>
            <c:extLst>
              <c:ext xmlns:c16="http://schemas.microsoft.com/office/drawing/2014/chart" uri="{C3380CC4-5D6E-409C-BE32-E72D297353CC}">
                <c16:uniqueId val="{00000015-2AD5-4B13-B984-DC571364FA1F}"/>
              </c:ext>
            </c:extLst>
          </c:dPt>
          <c:dPt>
            <c:idx val="23"/>
            <c:bubble3D val="0"/>
            <c:spPr>
              <a:solidFill>
                <a:schemeClr val="accent4">
                  <a:lumMod val="70000"/>
                </a:schemeClr>
              </a:solidFill>
              <a:ln>
                <a:noFill/>
              </a:ln>
              <a:effectLst/>
            </c:spPr>
            <c:extLst>
              <c:ext xmlns:c16="http://schemas.microsoft.com/office/drawing/2014/chart" uri="{C3380CC4-5D6E-409C-BE32-E72D297353CC}">
                <c16:uniqueId val="{00000017-2AD5-4B13-B984-DC571364FA1F}"/>
              </c:ext>
            </c:extLst>
          </c:dPt>
          <c:dPt>
            <c:idx val="24"/>
            <c:bubble3D val="0"/>
            <c:spPr>
              <a:solidFill>
                <a:schemeClr val="accent6">
                  <a:lumMod val="50000"/>
                  <a:lumOff val="50000"/>
                </a:schemeClr>
              </a:solidFill>
              <a:ln>
                <a:noFill/>
              </a:ln>
              <a:effectLst/>
            </c:spPr>
            <c:extLst>
              <c:ext xmlns:c16="http://schemas.microsoft.com/office/drawing/2014/chart" uri="{C3380CC4-5D6E-409C-BE32-E72D297353CC}">
                <c16:uniqueId val="{00000019-2AD5-4B13-B984-DC571364FA1F}"/>
              </c:ext>
            </c:extLst>
          </c:dPt>
          <c:dPt>
            <c:idx val="25"/>
            <c:bubble3D val="0"/>
            <c:spPr>
              <a:solidFill>
                <a:schemeClr val="accent5">
                  <a:lumMod val="50000"/>
                  <a:lumOff val="50000"/>
                </a:schemeClr>
              </a:solidFill>
              <a:ln>
                <a:noFill/>
              </a:ln>
              <a:effectLst/>
            </c:spPr>
            <c:extLst>
              <c:ext xmlns:c16="http://schemas.microsoft.com/office/drawing/2014/chart" uri="{C3380CC4-5D6E-409C-BE32-E72D297353CC}">
                <c16:uniqueId val="{0000001B-2AD5-4B13-B984-DC571364FA1F}"/>
              </c:ext>
            </c:extLst>
          </c:dPt>
          <c:dPt>
            <c:idx val="26"/>
            <c:bubble3D val="0"/>
            <c:spPr>
              <a:solidFill>
                <a:schemeClr val="accent4">
                  <a:lumMod val="50000"/>
                  <a:lumOff val="50000"/>
                </a:schemeClr>
              </a:solidFill>
              <a:ln>
                <a:noFill/>
              </a:ln>
              <a:effectLst/>
            </c:spPr>
            <c:extLst>
              <c:ext xmlns:c16="http://schemas.microsoft.com/office/drawing/2014/chart" uri="{C3380CC4-5D6E-409C-BE32-E72D297353CC}">
                <c16:uniqueId val="{0000001D-2AD5-4B13-B984-DC571364FA1F}"/>
              </c:ext>
            </c:extLst>
          </c:dPt>
          <c:dPt>
            <c:idx val="27"/>
            <c:bubble3D val="0"/>
            <c:spPr>
              <a:solidFill>
                <a:schemeClr val="accent6"/>
              </a:solidFill>
              <a:ln>
                <a:noFill/>
              </a:ln>
              <a:effectLst/>
            </c:spPr>
            <c:extLst>
              <c:ext xmlns:c16="http://schemas.microsoft.com/office/drawing/2014/chart" uri="{C3380CC4-5D6E-409C-BE32-E72D297353CC}">
                <c16:uniqueId val="{0000001F-2AD5-4B13-B984-DC571364FA1F}"/>
              </c:ext>
            </c:extLst>
          </c:dPt>
          <c:dPt>
            <c:idx val="28"/>
            <c:bubble3D val="0"/>
            <c:spPr>
              <a:solidFill>
                <a:schemeClr val="accent5"/>
              </a:solidFill>
              <a:ln>
                <a:noFill/>
              </a:ln>
              <a:effectLst/>
            </c:spPr>
            <c:extLst>
              <c:ext xmlns:c16="http://schemas.microsoft.com/office/drawing/2014/chart" uri="{C3380CC4-5D6E-409C-BE32-E72D297353CC}">
                <c16:uniqueId val="{00000021-2AD5-4B13-B984-DC571364FA1F}"/>
              </c:ext>
            </c:extLst>
          </c:dPt>
          <c:dPt>
            <c:idx val="29"/>
            <c:bubble3D val="0"/>
            <c:spPr>
              <a:solidFill>
                <a:schemeClr val="accent4"/>
              </a:solidFill>
              <a:ln>
                <a:noFill/>
              </a:ln>
              <a:effectLst/>
            </c:spPr>
            <c:extLst>
              <c:ext xmlns:c16="http://schemas.microsoft.com/office/drawing/2014/chart" uri="{C3380CC4-5D6E-409C-BE32-E72D297353CC}">
                <c16:uniqueId val="{00000023-2AD5-4B13-B984-DC571364FA1F}"/>
              </c:ext>
            </c:extLst>
          </c:dPt>
          <c:dPt>
            <c:idx val="30"/>
            <c:bubble3D val="0"/>
            <c:spPr>
              <a:solidFill>
                <a:schemeClr val="accent6">
                  <a:lumMod val="60000"/>
                </a:schemeClr>
              </a:solidFill>
              <a:ln>
                <a:noFill/>
              </a:ln>
              <a:effectLst/>
            </c:spPr>
            <c:extLst>
              <c:ext xmlns:c16="http://schemas.microsoft.com/office/drawing/2014/chart" uri="{C3380CC4-5D6E-409C-BE32-E72D297353CC}">
                <c16:uniqueId val="{00000025-2AD5-4B13-B984-DC571364FA1F}"/>
              </c:ext>
            </c:extLst>
          </c:dPt>
          <c:dPt>
            <c:idx val="31"/>
            <c:bubble3D val="0"/>
            <c:spPr>
              <a:solidFill>
                <a:schemeClr val="accent5">
                  <a:lumMod val="60000"/>
                </a:schemeClr>
              </a:solidFill>
              <a:ln>
                <a:noFill/>
              </a:ln>
              <a:effectLst/>
            </c:spPr>
            <c:extLst>
              <c:ext xmlns:c16="http://schemas.microsoft.com/office/drawing/2014/chart" uri="{C3380CC4-5D6E-409C-BE32-E72D297353CC}">
                <c16:uniqueId val="{00000027-2AD5-4B13-B984-DC571364FA1F}"/>
              </c:ext>
            </c:extLst>
          </c:dPt>
          <c:dPt>
            <c:idx val="32"/>
            <c:bubble3D val="0"/>
            <c:spPr>
              <a:solidFill>
                <a:schemeClr val="accent4">
                  <a:lumMod val="60000"/>
                </a:schemeClr>
              </a:solidFill>
              <a:ln>
                <a:noFill/>
              </a:ln>
              <a:effectLst/>
            </c:spPr>
            <c:extLst>
              <c:ext xmlns:c16="http://schemas.microsoft.com/office/drawing/2014/chart" uri="{C3380CC4-5D6E-409C-BE32-E72D297353CC}">
                <c16:uniqueId val="{00000029-2AD5-4B13-B984-DC571364FA1F}"/>
              </c:ext>
            </c:extLst>
          </c:dPt>
          <c:dPt>
            <c:idx val="33"/>
            <c:bubble3D val="0"/>
            <c:spPr>
              <a:solidFill>
                <a:schemeClr val="accent6">
                  <a:lumMod val="80000"/>
                  <a:lumOff val="20000"/>
                </a:schemeClr>
              </a:solidFill>
              <a:ln>
                <a:noFill/>
              </a:ln>
              <a:effectLst/>
            </c:spPr>
            <c:extLst>
              <c:ext xmlns:c16="http://schemas.microsoft.com/office/drawing/2014/chart" uri="{C3380CC4-5D6E-409C-BE32-E72D297353CC}">
                <c16:uniqueId val="{0000002B-2AD5-4B13-B984-DC571364FA1F}"/>
              </c:ext>
            </c:extLst>
          </c:dPt>
          <c:dPt>
            <c:idx val="34"/>
            <c:bubble3D val="0"/>
            <c:spPr>
              <a:solidFill>
                <a:schemeClr val="accent5">
                  <a:lumMod val="80000"/>
                  <a:lumOff val="20000"/>
                </a:schemeClr>
              </a:solidFill>
              <a:ln>
                <a:noFill/>
              </a:ln>
              <a:effectLst/>
            </c:spPr>
            <c:extLst>
              <c:ext xmlns:c16="http://schemas.microsoft.com/office/drawing/2014/chart" uri="{C3380CC4-5D6E-409C-BE32-E72D297353CC}">
                <c16:uniqueId val="{0000002D-2AD5-4B13-B984-DC571364FA1F}"/>
              </c:ext>
            </c:extLst>
          </c:dPt>
          <c:dPt>
            <c:idx val="35"/>
            <c:bubble3D val="0"/>
            <c:spPr>
              <a:solidFill>
                <a:schemeClr val="accent4">
                  <a:lumMod val="80000"/>
                  <a:lumOff val="20000"/>
                </a:schemeClr>
              </a:solidFill>
              <a:ln>
                <a:noFill/>
              </a:ln>
              <a:effectLst/>
            </c:spPr>
            <c:extLst>
              <c:ext xmlns:c16="http://schemas.microsoft.com/office/drawing/2014/chart" uri="{C3380CC4-5D6E-409C-BE32-E72D297353CC}">
                <c16:uniqueId val="{0000002F-2AD5-4B13-B984-DC571364FA1F}"/>
              </c:ext>
            </c:extLst>
          </c:dPt>
          <c:dPt>
            <c:idx val="36"/>
            <c:bubble3D val="0"/>
            <c:spPr>
              <a:solidFill>
                <a:schemeClr val="accent6">
                  <a:lumMod val="80000"/>
                </a:schemeClr>
              </a:solidFill>
              <a:ln>
                <a:noFill/>
              </a:ln>
              <a:effectLst/>
            </c:spPr>
            <c:extLst>
              <c:ext xmlns:c16="http://schemas.microsoft.com/office/drawing/2014/chart" uri="{C3380CC4-5D6E-409C-BE32-E72D297353CC}">
                <c16:uniqueId val="{00000031-2AD5-4B13-B984-DC571364FA1F}"/>
              </c:ext>
            </c:extLst>
          </c:dPt>
          <c:dPt>
            <c:idx val="37"/>
            <c:bubble3D val="0"/>
            <c:spPr>
              <a:solidFill>
                <a:schemeClr val="accent5">
                  <a:lumMod val="80000"/>
                </a:schemeClr>
              </a:solidFill>
              <a:ln>
                <a:noFill/>
              </a:ln>
              <a:effectLst/>
            </c:spPr>
            <c:extLst>
              <c:ext xmlns:c16="http://schemas.microsoft.com/office/drawing/2014/chart" uri="{C3380CC4-5D6E-409C-BE32-E72D297353CC}">
                <c16:uniqueId val="{00000033-2AD5-4B13-B984-DC571364FA1F}"/>
              </c:ext>
            </c:extLst>
          </c:dPt>
          <c:dPt>
            <c:idx val="38"/>
            <c:bubble3D val="0"/>
            <c:spPr>
              <a:solidFill>
                <a:schemeClr val="accent4">
                  <a:lumMod val="80000"/>
                </a:schemeClr>
              </a:solidFill>
              <a:ln>
                <a:noFill/>
              </a:ln>
              <a:effectLst/>
            </c:spPr>
            <c:extLst>
              <c:ext xmlns:c16="http://schemas.microsoft.com/office/drawing/2014/chart" uri="{C3380CC4-5D6E-409C-BE32-E72D297353CC}">
                <c16:uniqueId val="{00000035-2AD5-4B13-B984-DC571364FA1F}"/>
              </c:ext>
            </c:extLst>
          </c:dPt>
          <c:dPt>
            <c:idx val="39"/>
            <c:bubble3D val="0"/>
            <c:spPr>
              <a:solidFill>
                <a:schemeClr val="accent6">
                  <a:lumMod val="60000"/>
                  <a:lumOff val="40000"/>
                </a:schemeClr>
              </a:solidFill>
              <a:ln>
                <a:noFill/>
              </a:ln>
              <a:effectLst/>
            </c:spPr>
            <c:extLst>
              <c:ext xmlns:c16="http://schemas.microsoft.com/office/drawing/2014/chart" uri="{C3380CC4-5D6E-409C-BE32-E72D297353CC}">
                <c16:uniqueId val="{00000037-2AD5-4B13-B984-DC571364FA1F}"/>
              </c:ext>
            </c:extLst>
          </c:dPt>
          <c:dPt>
            <c:idx val="40"/>
            <c:bubble3D val="0"/>
            <c:spPr>
              <a:solidFill>
                <a:schemeClr val="accent5">
                  <a:lumMod val="60000"/>
                  <a:lumOff val="40000"/>
                </a:schemeClr>
              </a:solidFill>
              <a:ln>
                <a:noFill/>
              </a:ln>
              <a:effectLst/>
            </c:spPr>
            <c:extLst>
              <c:ext xmlns:c16="http://schemas.microsoft.com/office/drawing/2014/chart" uri="{C3380CC4-5D6E-409C-BE32-E72D297353CC}">
                <c16:uniqueId val="{00000039-2AD5-4B13-B984-DC571364FA1F}"/>
              </c:ext>
            </c:extLst>
          </c:dPt>
          <c:dPt>
            <c:idx val="41"/>
            <c:bubble3D val="0"/>
            <c:spPr>
              <a:solidFill>
                <a:schemeClr val="accent4">
                  <a:lumMod val="60000"/>
                  <a:lumOff val="40000"/>
                </a:schemeClr>
              </a:solidFill>
              <a:ln>
                <a:noFill/>
              </a:ln>
              <a:effectLst/>
            </c:spPr>
            <c:extLst>
              <c:ext xmlns:c16="http://schemas.microsoft.com/office/drawing/2014/chart" uri="{C3380CC4-5D6E-409C-BE32-E72D297353CC}">
                <c16:uniqueId val="{0000003B-2AD5-4B13-B984-DC571364FA1F}"/>
              </c:ext>
            </c:extLst>
          </c:dPt>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pl-PL"/>
              </a:p>
            </c:txPr>
            <c:showLegendKey val="0"/>
            <c:showVal val="0"/>
            <c:showCatName val="0"/>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'Struktura paliw łącznie'!$A$4:$A$12</c15:sqref>
                  </c15:fullRef>
                </c:ext>
              </c:extLst>
              <c:f>('Struktura paliw łącznie'!$A$4:$A$7,'Struktura paliw łącznie'!$A$9,'Struktura paliw łącznie'!$A$12)</c:f>
              <c:strCache>
                <c:ptCount val="5"/>
                <c:pt idx="0">
                  <c:v>węgiel</c:v>
                </c:pt>
                <c:pt idx="1">
                  <c:v>drewno</c:v>
                </c:pt>
                <c:pt idx="2">
                  <c:v>pelet</c:v>
                </c:pt>
                <c:pt idx="3">
                  <c:v>energia elektryczna</c:v>
                </c:pt>
                <c:pt idx="4">
                  <c:v>paliwa transportowe</c:v>
                </c:pt>
              </c:strCache>
            </c:strRef>
          </c:cat>
          <c:val>
            <c:numRef>
              <c:extLst>
                <c:ext xmlns:c15="http://schemas.microsoft.com/office/drawing/2012/chart" uri="{02D57815-91ED-43cb-92C2-25804820EDAC}">
                  <c15:fullRef>
                    <c15:sqref>'Struktura paliw łącznie'!$M$4:$M$12</c15:sqref>
                  </c15:fullRef>
                </c:ext>
              </c:extLst>
              <c:f>('Struktura paliw łącznie'!$M$4:$M$7,'Struktura paliw łącznie'!$M$9,'Struktura paliw łącznie'!$M$12)</c:f>
              <c:numCache>
                <c:formatCode>#,##0</c:formatCode>
                <c:ptCount val="5"/>
                <c:pt idx="0">
                  <c:v>66499.658629646947</c:v>
                </c:pt>
                <c:pt idx="1">
                  <c:v>19485.306142840254</c:v>
                </c:pt>
                <c:pt idx="2">
                  <c:v>3420</c:v>
                </c:pt>
                <c:pt idx="3">
                  <c:v>12076.515072000002</c:v>
                </c:pt>
                <c:pt idx="4">
                  <c:v>40213.850456512504</c:v>
                </c:pt>
              </c:numCache>
            </c:numRef>
          </c:val>
          <c:extLst>
            <c:ext xmlns:c16="http://schemas.microsoft.com/office/drawing/2014/chart" uri="{C3380CC4-5D6E-409C-BE32-E72D297353CC}">
              <c16:uniqueId val="{0000003C-2AD5-4B13-B984-DC571364FA1F}"/>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pl-PL"/>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pl-P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Emisja zanieczy</a:t>
            </a:r>
            <a:r>
              <a:rPr lang="pl-PL"/>
              <a:t>s</a:t>
            </a:r>
            <a:r>
              <a:rPr lang="en-US"/>
              <a:t>zczeń w ujęciu globalnym w gminie [Mg/rok]</a:t>
            </a:r>
          </a:p>
        </c:rich>
      </c:tx>
      <c:layout>
        <c:manualLayout>
          <c:xMode val="edge"/>
          <c:yMode val="edge"/>
          <c:x val="0.10424300087489062"/>
          <c:y val="2.9411764705882353E-2"/>
        </c:manualLayout>
      </c:layout>
      <c:overlay val="1"/>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pl-PL"/>
        </a:p>
      </c:txPr>
    </c:title>
    <c:autoTitleDeleted val="0"/>
    <c:plotArea>
      <c:layout/>
      <c:barChart>
        <c:barDir val="col"/>
        <c:grouping val="clustered"/>
        <c:varyColors val="0"/>
        <c:ser>
          <c:idx val="0"/>
          <c:order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cat>
            <c:strRef>
              <c:f>'Łączna emisja'!$C$3:$I$3</c:f>
              <c:strCache>
                <c:ptCount val="7"/>
                <c:pt idx="0">
                  <c:v>PM 10</c:v>
                </c:pt>
                <c:pt idx="1">
                  <c:v>PM 2,5</c:v>
                </c:pt>
                <c:pt idx="2">
                  <c:v>CO2*</c:v>
                </c:pt>
                <c:pt idx="3">
                  <c:v>BaP**</c:v>
                </c:pt>
                <c:pt idx="4">
                  <c:v>SO2</c:v>
                </c:pt>
                <c:pt idx="5">
                  <c:v>NOx</c:v>
                </c:pt>
                <c:pt idx="6">
                  <c:v>CO</c:v>
                </c:pt>
              </c:strCache>
            </c:strRef>
          </c:cat>
          <c:val>
            <c:numRef>
              <c:f>'Łączna emisja'!$C$21:$I$21</c:f>
              <c:numCache>
                <c:formatCode>_(* #\ ##0.00_);_(* \(#\ ##0.00\);_(* "-"??_);_(@_)</c:formatCode>
                <c:ptCount val="7"/>
                <c:pt idx="0">
                  <c:v>25.245643977470372</c:v>
                </c:pt>
                <c:pt idx="1">
                  <c:v>23.447757543597717</c:v>
                </c:pt>
                <c:pt idx="2">
                  <c:v>118.62744128606657</c:v>
                </c:pt>
                <c:pt idx="3">
                  <c:v>20.348218027551791</c:v>
                </c:pt>
                <c:pt idx="4">
                  <c:v>60.138414572386111</c:v>
                </c:pt>
                <c:pt idx="5">
                  <c:v>28.662175015052178</c:v>
                </c:pt>
                <c:pt idx="6">
                  <c:v>185.59583392758364</c:v>
                </c:pt>
              </c:numCache>
            </c:numRef>
          </c:val>
          <c:extLst>
            <c:ext xmlns:c16="http://schemas.microsoft.com/office/drawing/2014/chart" uri="{C3380CC4-5D6E-409C-BE32-E72D297353CC}">
              <c16:uniqueId val="{00000000-8E8A-4708-8A48-B2C1D6CEBD8A}"/>
            </c:ext>
          </c:extLst>
        </c:ser>
        <c:dLbls>
          <c:showLegendKey val="0"/>
          <c:showVal val="0"/>
          <c:showCatName val="0"/>
          <c:showSerName val="0"/>
          <c:showPercent val="0"/>
          <c:showBubbleSize val="0"/>
        </c:dLbls>
        <c:gapWidth val="100"/>
        <c:overlap val="-24"/>
        <c:axId val="139060736"/>
        <c:axId val="198960256"/>
      </c:barChart>
      <c:catAx>
        <c:axId val="139060736"/>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198960256"/>
        <c:crosses val="autoZero"/>
        <c:auto val="1"/>
        <c:lblAlgn val="ctr"/>
        <c:lblOffset val="100"/>
        <c:noMultiLvlLbl val="0"/>
      </c:catAx>
      <c:valAx>
        <c:axId val="19896025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13906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Emisja pyłu PM10 - sektory w gminie [Mg/rok]</a:t>
            </a:r>
          </a:p>
        </c:rich>
      </c:tx>
      <c:overlay val="1"/>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pl-PL"/>
        </a:p>
      </c:txPr>
    </c:title>
    <c:autoTitleDeleted val="0"/>
    <c:plotArea>
      <c:layout/>
      <c:barChart>
        <c:barDir val="col"/>
        <c:grouping val="clustered"/>
        <c:varyColors val="0"/>
        <c:ser>
          <c:idx val="0"/>
          <c:order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cat>
            <c:strRef>
              <c:extLst>
                <c:ext xmlns:c15="http://schemas.microsoft.com/office/drawing/2012/chart" uri="{02D57815-91ED-43cb-92C2-25804820EDAC}">
                  <c15:fullRef>
                    <c15:sqref>'Łączna emisja'!$A$5:$A$11</c15:sqref>
                  </c15:fullRef>
                </c:ext>
              </c:extLst>
              <c:f>'Łączna emisja'!$A$5:$A$10</c:f>
              <c:strCache>
                <c:ptCount val="4"/>
                <c:pt idx="0">
                  <c:v>Mieszkalne jednorodz.</c:v>
                </c:pt>
                <c:pt idx="1">
                  <c:v>Budynki gminne</c:v>
                </c:pt>
                <c:pt idx="2">
                  <c:v>Budynki - działalność gospodarcza</c:v>
                </c:pt>
                <c:pt idx="3">
                  <c:v>Transport</c:v>
                </c:pt>
              </c:strCache>
            </c:strRef>
          </c:cat>
          <c:val>
            <c:numRef>
              <c:extLst>
                <c:ext xmlns:c15="http://schemas.microsoft.com/office/drawing/2012/chart" uri="{02D57815-91ED-43cb-92C2-25804820EDAC}">
                  <c15:fullRef>
                    <c15:sqref>'Łączna emisja'!$C$5:$C$11</c15:sqref>
                  </c15:fullRef>
                </c:ext>
              </c:extLst>
              <c:f>'Łączna emisja'!$C$5:$C$10</c:f>
              <c:numCache>
                <c:formatCode>_(* #\ ##0.00_);_(* \(#\ ##0.00\);_(* "-"??_);_(@_)</c:formatCode>
                <c:ptCount val="4"/>
                <c:pt idx="0">
                  <c:v>23.08442329177452</c:v>
                </c:pt>
                <c:pt idx="1">
                  <c:v>1.2667807369686102</c:v>
                </c:pt>
                <c:pt idx="2">
                  <c:v>0.68086610344274079</c:v>
                </c:pt>
                <c:pt idx="3">
                  <c:v>0.21357384528449999</c:v>
                </c:pt>
              </c:numCache>
            </c:numRef>
          </c:val>
          <c:extLst>
            <c:ext xmlns:c16="http://schemas.microsoft.com/office/drawing/2014/chart" uri="{C3380CC4-5D6E-409C-BE32-E72D297353CC}">
              <c16:uniqueId val="{00000000-156A-425F-AC0E-FCE625765BC9}"/>
            </c:ext>
          </c:extLst>
        </c:ser>
        <c:dLbls>
          <c:showLegendKey val="0"/>
          <c:showVal val="0"/>
          <c:showCatName val="0"/>
          <c:showSerName val="0"/>
          <c:showPercent val="0"/>
          <c:showBubbleSize val="0"/>
        </c:dLbls>
        <c:gapWidth val="100"/>
        <c:overlap val="-24"/>
        <c:axId val="139062784"/>
        <c:axId val="198961984"/>
      </c:barChart>
      <c:catAx>
        <c:axId val="13906278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198961984"/>
        <c:crosses val="autoZero"/>
        <c:auto val="1"/>
        <c:lblAlgn val="ctr"/>
        <c:lblOffset val="100"/>
        <c:noMultiLvlLbl val="0"/>
      </c:catAx>
      <c:valAx>
        <c:axId val="1989619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139062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Emisja CO2 - sektory w gminie [Mg/rok]</a:t>
            </a:r>
          </a:p>
        </c:rich>
      </c:tx>
      <c:overlay val="1"/>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pl-PL"/>
        </a:p>
      </c:txPr>
    </c:title>
    <c:autoTitleDeleted val="0"/>
    <c:plotArea>
      <c:layout/>
      <c:barChart>
        <c:barDir val="col"/>
        <c:grouping val="clustered"/>
        <c:varyColors val="0"/>
        <c:ser>
          <c:idx val="0"/>
          <c:order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cat>
            <c:strRef>
              <c:f>'Łączna emisja'!$A$5:$A$11</c:f>
              <c:strCache>
                <c:ptCount val="5"/>
                <c:pt idx="0">
                  <c:v>Mieszkalne jednorodz.</c:v>
                </c:pt>
                <c:pt idx="1">
                  <c:v>Budynki gminne</c:v>
                </c:pt>
                <c:pt idx="2">
                  <c:v>Budynki - działalność gospodarcza</c:v>
                </c:pt>
                <c:pt idx="3">
                  <c:v>Transport</c:v>
                </c:pt>
                <c:pt idx="4">
                  <c:v>Oświetlenie </c:v>
                </c:pt>
              </c:strCache>
            </c:strRef>
          </c:cat>
          <c:val>
            <c:numRef>
              <c:f>'Łączna emisja'!$E$5:$E$11</c:f>
              <c:numCache>
                <c:formatCode>_(* #\ ##0.00_);_(* \(#\ ##0.00\);_(* "-"??_);_(@_)</c:formatCode>
                <c:ptCount val="5"/>
                <c:pt idx="0">
                  <c:v>8300.2052534786199</c:v>
                </c:pt>
                <c:pt idx="1">
                  <c:v>358.15682570181144</c:v>
                </c:pt>
                <c:pt idx="2">
                  <c:v>184.99822764267395</c:v>
                </c:pt>
                <c:pt idx="3">
                  <c:v>2839.7266057835504</c:v>
                </c:pt>
                <c:pt idx="4">
                  <c:v>179.65721600000001</c:v>
                </c:pt>
              </c:numCache>
            </c:numRef>
          </c:val>
          <c:extLst>
            <c:ext xmlns:c16="http://schemas.microsoft.com/office/drawing/2014/chart" uri="{C3380CC4-5D6E-409C-BE32-E72D297353CC}">
              <c16:uniqueId val="{00000000-9DC8-4362-94CB-4F41D3381CF0}"/>
            </c:ext>
          </c:extLst>
        </c:ser>
        <c:dLbls>
          <c:showLegendKey val="0"/>
          <c:showVal val="0"/>
          <c:showCatName val="0"/>
          <c:showSerName val="0"/>
          <c:showPercent val="0"/>
          <c:showBubbleSize val="0"/>
        </c:dLbls>
        <c:gapWidth val="100"/>
        <c:overlap val="-24"/>
        <c:axId val="139702784"/>
        <c:axId val="198963712"/>
      </c:barChart>
      <c:catAx>
        <c:axId val="13970278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198963712"/>
        <c:crosses val="autoZero"/>
        <c:auto val="1"/>
        <c:lblAlgn val="ctr"/>
        <c:lblOffset val="100"/>
        <c:noMultiLvlLbl val="0"/>
      </c:catAx>
      <c:valAx>
        <c:axId val="19896371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139702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pl-PL" sz="1200"/>
              <a:t>Struktura zużycia energii z poszczególnych paliw  na potrzeby grzewcze w budynkach komunalnych </a:t>
            </a:r>
            <a:r>
              <a:rPr lang="pl-PL" sz="1200" baseline="0"/>
              <a:t> </a:t>
            </a:r>
            <a:r>
              <a:rPr lang="pl-PL" sz="1200"/>
              <a:t>[GJ/rok]</a:t>
            </a:r>
            <a:endParaRPr lang="pl-PL"/>
          </a:p>
        </c:rich>
      </c:tx>
      <c:overlay val="1"/>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pl-PL"/>
        </a:p>
      </c:txPr>
    </c:title>
    <c:autoTitleDeleted val="0"/>
    <c:plotArea>
      <c:layout>
        <c:manualLayout>
          <c:layoutTarget val="inner"/>
          <c:xMode val="edge"/>
          <c:yMode val="edge"/>
          <c:x val="0.17532948913245675"/>
          <c:y val="0.20380434782608695"/>
          <c:w val="0.51292095664776949"/>
          <c:h val="0.79528985507246375"/>
        </c:manualLayout>
      </c:layout>
      <c:pieChart>
        <c:varyColors val="1"/>
        <c:ser>
          <c:idx val="0"/>
          <c:order val="0"/>
          <c:dPt>
            <c:idx val="0"/>
            <c:bubble3D val="0"/>
            <c:spPr>
              <a:solidFill>
                <a:schemeClr val="accent6"/>
              </a:solidFill>
              <a:ln>
                <a:noFill/>
              </a:ln>
              <a:effectLst/>
            </c:spPr>
            <c:extLst>
              <c:ext xmlns:c16="http://schemas.microsoft.com/office/drawing/2014/chart" uri="{C3380CC4-5D6E-409C-BE32-E72D297353CC}">
                <c16:uniqueId val="{00000001-D50E-4123-9855-3BF37E5FAB8E}"/>
              </c:ext>
            </c:extLst>
          </c:dPt>
          <c:dPt>
            <c:idx val="1"/>
            <c:bubble3D val="0"/>
            <c:spPr>
              <a:solidFill>
                <a:schemeClr val="accent5"/>
              </a:solidFill>
              <a:ln>
                <a:noFill/>
              </a:ln>
              <a:effectLst/>
            </c:spPr>
            <c:extLst>
              <c:ext xmlns:c16="http://schemas.microsoft.com/office/drawing/2014/chart" uri="{C3380CC4-5D6E-409C-BE32-E72D297353CC}">
                <c16:uniqueId val="{00000003-D50E-4123-9855-3BF37E5FAB8E}"/>
              </c:ext>
            </c:extLst>
          </c:dPt>
          <c:dPt>
            <c:idx val="2"/>
            <c:bubble3D val="0"/>
            <c:spPr>
              <a:solidFill>
                <a:schemeClr val="accent4"/>
              </a:solidFill>
              <a:ln>
                <a:noFill/>
              </a:ln>
              <a:effectLst/>
            </c:spPr>
            <c:extLst>
              <c:ext xmlns:c16="http://schemas.microsoft.com/office/drawing/2014/chart" uri="{C3380CC4-5D6E-409C-BE32-E72D297353CC}">
                <c16:uniqueId val="{00000005-D50E-4123-9855-3BF37E5FAB8E}"/>
              </c:ext>
            </c:extLst>
          </c:dPt>
          <c:dPt>
            <c:idx val="3"/>
            <c:bubble3D val="0"/>
            <c:spPr>
              <a:solidFill>
                <a:schemeClr val="accent6">
                  <a:lumMod val="60000"/>
                </a:schemeClr>
              </a:solidFill>
              <a:ln>
                <a:noFill/>
              </a:ln>
              <a:effectLst/>
            </c:spPr>
            <c:extLst>
              <c:ext xmlns:c16="http://schemas.microsoft.com/office/drawing/2014/chart" uri="{C3380CC4-5D6E-409C-BE32-E72D297353CC}">
                <c16:uniqueId val="{00000007-D50E-4123-9855-3BF37E5FAB8E}"/>
              </c:ext>
            </c:extLst>
          </c:dPt>
          <c:dLbls>
            <c:dLbl>
              <c:idx val="1"/>
              <c:layout>
                <c:manualLayout>
                  <c:x val="-3.4279987743099628E-2"/>
                  <c:y val="1.2513030324406075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0E-4123-9855-3BF37E5FAB8E}"/>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pl-PL"/>
              </a:p>
            </c:txPr>
            <c:dLblPos val="bestFit"/>
            <c:showLegendKey val="0"/>
            <c:showVal val="1"/>
            <c:showCatName val="0"/>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'Budynki komunalne - emisja'!$AP$5:$AP$12</c15:sqref>
                  </c15:fullRef>
                </c:ext>
              </c:extLst>
              <c:f>('Budynki komunalne - emisja'!$AP$5,'Budynki komunalne - emisja'!$AP$7:$AP$8,'Budynki komunalne - emisja'!$AP$10)</c:f>
              <c:strCache>
                <c:ptCount val="4"/>
                <c:pt idx="0">
                  <c:v>węgiel</c:v>
                </c:pt>
                <c:pt idx="1">
                  <c:v>drewno</c:v>
                </c:pt>
                <c:pt idx="2">
                  <c:v>pelet</c:v>
                </c:pt>
                <c:pt idx="3">
                  <c:v>energia elektryczna</c:v>
                </c:pt>
              </c:strCache>
            </c:strRef>
          </c:cat>
          <c:val>
            <c:numRef>
              <c:extLst>
                <c:ext xmlns:c15="http://schemas.microsoft.com/office/drawing/2012/chart" uri="{02D57815-91ED-43cb-92C2-25804820EDAC}">
                  <c15:fullRef>
                    <c15:sqref>'Budynki komunalne - emisja'!$AQ$5:$AQ$12</c15:sqref>
                  </c15:fullRef>
                </c:ext>
              </c:extLst>
              <c:f>('Budynki komunalne - emisja'!$AQ$5,'Budynki komunalne - emisja'!$AQ$7:$AQ$8,'Budynki komunalne - emisja'!$AQ$10)</c:f>
              <c:numCache>
                <c:formatCode>_(* #\ ##0.00_);_(* \(#\ ##0.00\);_(* "-"??_);_(@_)</c:formatCode>
                <c:ptCount val="4"/>
                <c:pt idx="0">
                  <c:v>2211.9444282250001</c:v>
                </c:pt>
                <c:pt idx="1">
                  <c:v>109.1526013875</c:v>
                </c:pt>
                <c:pt idx="2">
                  <c:v>3420</c:v>
                </c:pt>
                <c:pt idx="3">
                  <c:v>1</c:v>
                </c:pt>
              </c:numCache>
            </c:numRef>
          </c:val>
          <c:extLst>
            <c:ext xmlns:c15="http://schemas.microsoft.com/office/drawing/2012/chart" uri="{02D57815-91ED-43cb-92C2-25804820EDAC}">
              <c15:categoryFilterExceptions>
                <c15:categoryFilterException>
                  <c15:sqref>'Budynki komunalne - emisja'!$AQ$6</c15:sqref>
                  <c15:spPr xmlns:c15="http://schemas.microsoft.com/office/drawing/2012/chart">
                    <a:solidFill>
                      <a:schemeClr val="accent5"/>
                    </a:solidFill>
                    <a:ln>
                      <a:noFill/>
                    </a:ln>
                    <a:effectLst/>
                  </c15:spPr>
                  <c15:bubble3D val="0"/>
                </c15:categoryFilterException>
                <c15:categoryFilterException>
                  <c15:sqref>'Budynki komunalne - emisja'!$AQ$9</c15:sqref>
                  <c15:spPr xmlns:c15="http://schemas.microsoft.com/office/drawing/2012/chart">
                    <a:solidFill>
                      <a:schemeClr val="accent5">
                        <a:lumMod val="60000"/>
                      </a:schemeClr>
                    </a:solidFill>
                    <a:ln>
                      <a:noFill/>
                    </a:ln>
                    <a:effectLst/>
                  </c15:spPr>
                  <c15:bubble3D val="0"/>
                </c15:categoryFilterException>
                <c15:categoryFilterException>
                  <c15:sqref>'Budynki komunalne - emisja'!$AQ$11</c15:sqref>
                  <c15:spPr xmlns:c15="http://schemas.microsoft.com/office/drawing/2012/chart">
                    <a:solidFill>
                      <a:schemeClr val="accent6">
                        <a:lumMod val="80000"/>
                        <a:lumOff val="20000"/>
                      </a:schemeClr>
                    </a:solidFill>
                    <a:ln>
                      <a:noFill/>
                    </a:ln>
                    <a:effectLst/>
                  </c15:spPr>
                  <c15:bubble3D val="0"/>
                  <c15:dLbl>
                    <c:idx val="3"/>
                    <c:layout>
                      <c:manualLayout>
                        <c:x val="-3.6989318218878853E-2"/>
                        <c:y val="7.4400213187863964E-3"/>
                      </c:manualLayout>
                    </c:layout>
                    <c:dLblPos val="bestFit"/>
                    <c:showLegendKey val="0"/>
                    <c:showVal val="1"/>
                    <c:showCatName val="0"/>
                    <c:showSerName val="0"/>
                    <c:showPercent val="0"/>
                    <c:showBubbleSize val="0"/>
                    <c:extLst>
                      <c:ext uri="{CE6537A1-D6FC-4f65-9D91-7224C49458BB}"/>
                      <c:ext xmlns:c16="http://schemas.microsoft.com/office/drawing/2014/chart" uri="{C3380CC4-5D6E-409C-BE32-E72D297353CC}">
                        <c16:uniqueId val="{0000000D-AE9C-4D53-BBB7-4202B0B343A0}"/>
                      </c:ext>
                    </c:extLst>
                  </c15:dLbl>
                </c15:categoryFilterException>
              </c15:categoryFilterExceptions>
            </c:ext>
            <c:ext xmlns:c16="http://schemas.microsoft.com/office/drawing/2014/chart" uri="{C3380CC4-5D6E-409C-BE32-E72D297353CC}">
              <c16:uniqueId val="{00000008-D50E-4123-9855-3BF37E5FAB8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pl-PL"/>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pl-P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cat>
            <c:strRef>
              <c:f>'Mieszk. wielorodz. - emisja'!$AC$4:$AJ$4</c:f>
              <c:strCache>
                <c:ptCount val="7"/>
                <c:pt idx="0">
                  <c:v>PM 10</c:v>
                </c:pt>
                <c:pt idx="1">
                  <c:v>PM 2,5</c:v>
                </c:pt>
                <c:pt idx="2">
                  <c:v>CO2*</c:v>
                </c:pt>
                <c:pt idx="3">
                  <c:v>BaP**</c:v>
                </c:pt>
                <c:pt idx="4">
                  <c:v>S02</c:v>
                </c:pt>
                <c:pt idx="5">
                  <c:v>N0x</c:v>
                </c:pt>
                <c:pt idx="6">
                  <c:v>CO</c:v>
                </c:pt>
              </c:strCache>
            </c:strRef>
          </c:cat>
          <c:val>
            <c:numRef>
              <c:f>'Mieszk. wielorodz. - emisja'!$AC$23:$AJ$23</c:f>
              <c:numCache>
                <c:formatCode>0.000</c:formatCode>
                <c:ptCount val="7"/>
                <c:pt idx="0" formatCode="_(* #\ ##0.00_);_(* \(#\ ##0.00\);_(* &quot;-&quot;??_);_(@_)">
                  <c:v>0</c:v>
                </c:pt>
                <c:pt idx="1">
                  <c:v>0</c:v>
                </c:pt>
                <c:pt idx="2" formatCode="General">
                  <c:v>0</c:v>
                </c:pt>
                <c:pt idx="3">
                  <c:v>0</c:v>
                </c:pt>
                <c:pt idx="4">
                  <c:v>0</c:v>
                </c:pt>
                <c:pt idx="5">
                  <c:v>0</c:v>
                </c:pt>
                <c:pt idx="6">
                  <c:v>0</c:v>
                </c:pt>
              </c:numCache>
            </c:numRef>
          </c:val>
          <c:extLst>
            <c:ext xmlns:c16="http://schemas.microsoft.com/office/drawing/2014/chart" uri="{C3380CC4-5D6E-409C-BE32-E72D297353CC}">
              <c16:uniqueId val="{00000000-5AA1-4281-9E87-32BF60746C43}"/>
            </c:ext>
          </c:extLst>
        </c:ser>
        <c:dLbls>
          <c:showLegendKey val="0"/>
          <c:showVal val="0"/>
          <c:showCatName val="0"/>
          <c:showSerName val="0"/>
          <c:showPercent val="0"/>
          <c:showBubbleSize val="0"/>
        </c:dLbls>
        <c:gapWidth val="100"/>
        <c:overlap val="-24"/>
        <c:axId val="194065920"/>
        <c:axId val="195512576"/>
      </c:barChart>
      <c:catAx>
        <c:axId val="19406592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195512576"/>
        <c:crosses val="autoZero"/>
        <c:auto val="1"/>
        <c:lblAlgn val="ctr"/>
        <c:lblOffset val="100"/>
        <c:noMultiLvlLbl val="0"/>
      </c:catAx>
      <c:valAx>
        <c:axId val="19551257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194065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949008781243265E-2"/>
          <c:y val="0.12564755877841219"/>
          <c:w val="0.54703027867114218"/>
          <c:h val="0.79853863658393609"/>
        </c:manualLayout>
      </c:layout>
      <c:pieChart>
        <c:varyColors val="1"/>
        <c:ser>
          <c:idx val="0"/>
          <c:order val="0"/>
          <c:dPt>
            <c:idx val="0"/>
            <c:bubble3D val="0"/>
            <c:spPr>
              <a:solidFill>
                <a:schemeClr val="accent2"/>
              </a:solidFill>
              <a:ln>
                <a:noFill/>
              </a:ln>
              <a:effectLst/>
            </c:spPr>
            <c:extLst>
              <c:ext xmlns:c16="http://schemas.microsoft.com/office/drawing/2014/chart" uri="{C3380CC4-5D6E-409C-BE32-E72D297353CC}">
                <c16:uniqueId val="{00000001-2A83-472B-8C61-45FF5C88C9EA}"/>
              </c:ext>
            </c:extLst>
          </c:dPt>
          <c:dPt>
            <c:idx val="1"/>
            <c:bubble3D val="0"/>
            <c:spPr>
              <a:solidFill>
                <a:schemeClr val="accent6">
                  <a:lumMod val="60000"/>
                </a:schemeClr>
              </a:solidFill>
              <a:ln>
                <a:noFill/>
              </a:ln>
              <a:effectLst/>
            </c:spPr>
            <c:extLst>
              <c:ext xmlns:c16="http://schemas.microsoft.com/office/drawing/2014/chart" uri="{C3380CC4-5D6E-409C-BE32-E72D297353CC}">
                <c16:uniqueId val="{00000003-2A83-472B-8C61-45FF5C88C9EA}"/>
              </c:ext>
            </c:extLst>
          </c:dPt>
          <c:dLbls>
            <c:dLbl>
              <c:idx val="1"/>
              <c:layout>
                <c:manualLayout>
                  <c:x val="-1.9105018666378062E-2"/>
                  <c:y val="-1.1879026968088898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3-2A83-472B-8C61-45FF5C88C9EA}"/>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pl-PL"/>
              </a:p>
            </c:txPr>
            <c:showLegendKey val="0"/>
            <c:showVal val="1"/>
            <c:showCatName val="0"/>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'Mieszk. wielorodz. - emisja'!$AL$5:$AL$12</c15:sqref>
                  </c15:fullRef>
                </c:ext>
              </c:extLst>
              <c:f>('Mieszk. wielorodz. - emisja'!$AL$5,'Mieszk. wielorodz. - emisja'!$AL$10)</c:f>
              <c:strCache>
                <c:ptCount val="2"/>
                <c:pt idx="0">
                  <c:v>węgiel</c:v>
                </c:pt>
                <c:pt idx="1">
                  <c:v>energia elektryczna</c:v>
                </c:pt>
              </c:strCache>
            </c:strRef>
          </c:cat>
          <c:val>
            <c:numRef>
              <c:extLst>
                <c:ext xmlns:c15="http://schemas.microsoft.com/office/drawing/2012/chart" uri="{02D57815-91ED-43cb-92C2-25804820EDAC}">
                  <c15:fullRef>
                    <c15:sqref>'Mieszk. wielorodz. - emisja'!$AM$5:$AM$12</c15:sqref>
                  </c15:fullRef>
                </c:ext>
              </c:extLst>
              <c:f>('Mieszk. wielorodz. - emisja'!$AM$5,'Mieszk. wielorodz. - emisja'!$AM$10)</c:f>
              <c:numCache>
                <c:formatCode>_-* #\ ##0\ _z_ł_-;\-* #\ ##0\ _z_ł_-;_-* "-"??\ _z_ł_-;_-@_-</c:formatCode>
                <c:ptCount val="2"/>
                <c:pt idx="0">
                  <c:v>0</c:v>
                </c:pt>
                <c:pt idx="1">
                  <c:v>0</c:v>
                </c:pt>
              </c:numCache>
            </c:numRef>
          </c:val>
          <c:extLst>
            <c:ext xmlns:c15="http://schemas.microsoft.com/office/drawing/2012/chart" uri="{02D57815-91ED-43cb-92C2-25804820EDAC}">
              <c15:categoryFilterExceptions>
                <c15:categoryFilterException>
                  <c15:sqref>'Mieszk. wielorodz. - emisja'!$AM$6</c15:sqref>
                  <c15:spPr xmlns:c15="http://schemas.microsoft.com/office/drawing/2012/chart">
                    <a:solidFill>
                      <a:schemeClr val="accent4"/>
                    </a:solidFill>
                    <a:ln>
                      <a:noFill/>
                    </a:ln>
                    <a:effectLst/>
                  </c15:spPr>
                  <c15:bubble3D val="0"/>
                </c15:categoryFilterException>
                <c15:categoryFilterException>
                  <c15:sqref>'Mieszk. wielorodz. - emisja'!$AM$7</c15:sqref>
                  <c15:spPr xmlns:c15="http://schemas.microsoft.com/office/drawing/2012/chart">
                    <a:solidFill>
                      <a:schemeClr val="accent6"/>
                    </a:solidFill>
                    <a:ln>
                      <a:noFill/>
                    </a:ln>
                    <a:effectLst/>
                  </c15:spPr>
                  <c15:bubble3D val="0"/>
                </c15:categoryFilterException>
                <c15:categoryFilterException>
                  <c15:sqref>'Mieszk. wielorodz. - emisja'!$AM$11</c15:sqref>
                  <c15:spPr xmlns:c15="http://schemas.microsoft.com/office/drawing/2012/chart">
                    <a:solidFill>
                      <a:schemeClr val="accent2">
                        <a:lumMod val="80000"/>
                        <a:lumOff val="20000"/>
                      </a:schemeClr>
                    </a:solidFill>
                    <a:ln>
                      <a:noFill/>
                    </a:ln>
                    <a:effectLst/>
                  </c15:spPr>
                  <c15:bubble3D val="0"/>
                </c15:categoryFilterException>
              </c15:categoryFilterExceptions>
            </c:ext>
            <c:ext xmlns:c16="http://schemas.microsoft.com/office/drawing/2014/chart" uri="{C3380CC4-5D6E-409C-BE32-E72D297353CC}">
              <c16:uniqueId val="{00000004-2A83-472B-8C61-45FF5C88C9EA}"/>
            </c:ext>
          </c:extLst>
        </c:ser>
        <c:dLbls>
          <c:showLegendKey val="0"/>
          <c:showVal val="0"/>
          <c:showCatName val="0"/>
          <c:showSerName val="0"/>
          <c:showPercent val="0"/>
          <c:showBubbleSize val="0"/>
          <c:showLeaderLines val="1"/>
        </c:dLbls>
        <c:firstSliceAng val="0"/>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pl-PL"/>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pl-P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Emisja zanieczyszczeń - budynki mieszkalne</a:t>
            </a:r>
            <a:r>
              <a:rPr lang="pl-PL"/>
              <a:t> jednorodzinne</a:t>
            </a:r>
            <a:r>
              <a:rPr lang="en-US"/>
              <a:t> [Mg/rok]</a:t>
            </a:r>
          </a:p>
        </c:rich>
      </c:tx>
      <c:overlay val="1"/>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pl-PL"/>
        </a:p>
      </c:txPr>
    </c:title>
    <c:autoTitleDeleted val="0"/>
    <c:plotArea>
      <c:layout/>
      <c:barChart>
        <c:barDir val="col"/>
        <c:grouping val="clustered"/>
        <c:varyColors val="0"/>
        <c:ser>
          <c:idx val="0"/>
          <c:order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cat>
            <c:strRef>
              <c:f>'Mieszkalne - emisja'!$Y$4:$AE$4</c:f>
              <c:strCache>
                <c:ptCount val="7"/>
                <c:pt idx="0">
                  <c:v>PM 10</c:v>
                </c:pt>
                <c:pt idx="1">
                  <c:v>PM 2,5</c:v>
                </c:pt>
                <c:pt idx="2">
                  <c:v>CO2*</c:v>
                </c:pt>
                <c:pt idx="3">
                  <c:v>BaP**</c:v>
                </c:pt>
                <c:pt idx="4">
                  <c:v>S02</c:v>
                </c:pt>
                <c:pt idx="5">
                  <c:v>N0x</c:v>
                </c:pt>
                <c:pt idx="6">
                  <c:v>CO</c:v>
                </c:pt>
              </c:strCache>
            </c:strRef>
          </c:cat>
          <c:val>
            <c:numRef>
              <c:f>'Mieszkalne - emisja'!$Y$23:$AE$23</c:f>
              <c:numCache>
                <c:formatCode>0.000</c:formatCode>
                <c:ptCount val="7"/>
                <c:pt idx="0">
                  <c:v>23.08442329177452</c:v>
                </c:pt>
                <c:pt idx="1">
                  <c:v>21.400055026370019</c:v>
                </c:pt>
                <c:pt idx="2" formatCode="General">
                  <c:v>83.002052534786202</c:v>
                </c:pt>
                <c:pt idx="3">
                  <c:v>19.109646550410773</c:v>
                </c:pt>
                <c:pt idx="4">
                  <c:v>56.290480832893891</c:v>
                </c:pt>
                <c:pt idx="5">
                  <c:v>11.356263688263184</c:v>
                </c:pt>
                <c:pt idx="6">
                  <c:v>128.74020756716862</c:v>
                </c:pt>
              </c:numCache>
            </c:numRef>
          </c:val>
          <c:extLst>
            <c:ext xmlns:c16="http://schemas.microsoft.com/office/drawing/2014/chart" uri="{C3380CC4-5D6E-409C-BE32-E72D297353CC}">
              <c16:uniqueId val="{00000000-3A78-48F1-BC4B-AABD92C3C493}"/>
            </c:ext>
          </c:extLst>
        </c:ser>
        <c:dLbls>
          <c:showLegendKey val="0"/>
          <c:showVal val="0"/>
          <c:showCatName val="0"/>
          <c:showSerName val="0"/>
          <c:showPercent val="0"/>
          <c:showBubbleSize val="0"/>
        </c:dLbls>
        <c:gapWidth val="100"/>
        <c:overlap val="-24"/>
        <c:axId val="193985536"/>
        <c:axId val="197454656"/>
      </c:barChart>
      <c:catAx>
        <c:axId val="193985536"/>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197454656"/>
        <c:crosses val="autoZero"/>
        <c:auto val="1"/>
        <c:lblAlgn val="ctr"/>
        <c:lblOffset val="100"/>
        <c:noMultiLvlLbl val="0"/>
      </c:catAx>
      <c:valAx>
        <c:axId val="19745465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193985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pl-PL" sz="1200" b="1" i="0" baseline="0">
                <a:effectLst/>
              </a:rPr>
              <a:t>Struktura zużycia energii z poszczególnych paliw - budynki mieszkalne jednorodzinne  [GJ/rok] </a:t>
            </a:r>
            <a:endParaRPr lang="pl-PL" sz="1200">
              <a:effectLst/>
            </a:endParaRPr>
          </a:p>
        </c:rich>
      </c:tx>
      <c:layout>
        <c:manualLayout>
          <c:xMode val="edge"/>
          <c:yMode val="edge"/>
          <c:x val="0.12244045630280177"/>
          <c:y val="1.4492753623188406E-2"/>
        </c:manualLayout>
      </c:layout>
      <c:overlay val="1"/>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pl-PL"/>
        </a:p>
      </c:txPr>
    </c:title>
    <c:autoTitleDeleted val="0"/>
    <c:plotArea>
      <c:layout>
        <c:manualLayout>
          <c:layoutTarget val="inner"/>
          <c:xMode val="edge"/>
          <c:yMode val="edge"/>
          <c:x val="8.0157072852528918E-2"/>
          <c:y val="0.21683527330822777"/>
          <c:w val="0.53623116637232904"/>
          <c:h val="0.76922828939860777"/>
        </c:manualLayout>
      </c:layout>
      <c:pieChart>
        <c:varyColors val="1"/>
        <c:ser>
          <c:idx val="0"/>
          <c:order val="0"/>
          <c:dPt>
            <c:idx val="0"/>
            <c:bubble3D val="0"/>
            <c:spPr>
              <a:solidFill>
                <a:schemeClr val="accent2"/>
              </a:solidFill>
              <a:ln>
                <a:noFill/>
              </a:ln>
              <a:effectLst/>
            </c:spPr>
            <c:extLst>
              <c:ext xmlns:c16="http://schemas.microsoft.com/office/drawing/2014/chart" uri="{C3380CC4-5D6E-409C-BE32-E72D297353CC}">
                <c16:uniqueId val="{00000001-335F-438D-881C-09FEE14F286E}"/>
              </c:ext>
            </c:extLst>
          </c:dPt>
          <c:dPt>
            <c:idx val="1"/>
            <c:bubble3D val="0"/>
            <c:spPr>
              <a:solidFill>
                <a:schemeClr val="accent4"/>
              </a:solidFill>
              <a:ln>
                <a:noFill/>
              </a:ln>
              <a:effectLst/>
            </c:spPr>
            <c:extLst>
              <c:ext xmlns:c16="http://schemas.microsoft.com/office/drawing/2014/chart" uri="{C3380CC4-5D6E-409C-BE32-E72D297353CC}">
                <c16:uniqueId val="{00000003-335F-438D-881C-09FEE14F286E}"/>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pl-PL"/>
              </a:p>
            </c:txPr>
            <c:showLegendKey val="0"/>
            <c:showVal val="1"/>
            <c:showCatName val="0"/>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'Mieszkalne - emisja'!$AG$5:$AG$12</c15:sqref>
                  </c15:fullRef>
                </c:ext>
              </c:extLst>
              <c:f>('Mieszkalne - emisja'!$AG$5,'Mieszkalne - emisja'!$AG$7)</c:f>
              <c:strCache>
                <c:ptCount val="2"/>
                <c:pt idx="0">
                  <c:v>węgiel</c:v>
                </c:pt>
                <c:pt idx="1">
                  <c:v>drewno</c:v>
                </c:pt>
              </c:strCache>
            </c:strRef>
          </c:cat>
          <c:val>
            <c:numRef>
              <c:extLst>
                <c:ext xmlns:c15="http://schemas.microsoft.com/office/drawing/2012/chart" uri="{02D57815-91ED-43cb-92C2-25804820EDAC}">
                  <c15:fullRef>
                    <c15:sqref>'Mieszkalne - emisja'!$AH$5:$AH$12</c15:sqref>
                  </c15:fullRef>
                </c:ext>
              </c:extLst>
              <c:f>('Mieszkalne - emisja'!$AH$5,'Mieszkalne - emisja'!$AH$7)</c:f>
              <c:numCache>
                <c:formatCode>_-* #\ ##0\ _z_ł_-;\-* #\ ##0\ _z_ł_-;_-* "-"??\ _z_ł_-;_-@_-</c:formatCode>
                <c:ptCount val="2"/>
                <c:pt idx="0">
                  <c:v>62314.189263906759</c:v>
                </c:pt>
                <c:pt idx="1">
                  <c:v>18882.772307073956</c:v>
                </c:pt>
              </c:numCache>
            </c:numRef>
          </c:val>
          <c:extLst>
            <c:ext xmlns:c15="http://schemas.microsoft.com/office/drawing/2012/chart" uri="{02D57815-91ED-43cb-92C2-25804820EDAC}">
              <c15:categoryFilterExceptions>
                <c15:categoryFilterException>
                  <c15:sqref>'Mieszkalne - emisja'!$AH$6</c15:sqref>
                  <c15:spPr xmlns:c15="http://schemas.microsoft.com/office/drawing/2012/chart">
                    <a:solidFill>
                      <a:schemeClr val="accent4"/>
                    </a:solidFill>
                    <a:ln>
                      <a:noFill/>
                    </a:ln>
                    <a:effectLst/>
                  </c15:spPr>
                  <c15:bubble3D val="0"/>
                </c15:categoryFilterException>
                <c15:categoryFilterException>
                  <c15:sqref>'Mieszkalne - emisja'!$AH$10</c15:sqref>
                  <c15:spPr xmlns:c15="http://schemas.microsoft.com/office/drawing/2012/chart">
                    <a:solidFill>
                      <a:schemeClr val="accent6">
                        <a:lumMod val="60000"/>
                      </a:schemeClr>
                    </a:solidFill>
                    <a:ln>
                      <a:noFill/>
                    </a:ln>
                    <a:effectLst/>
                  </c15:spPr>
                  <c15:bubble3D val="0"/>
                  <c15:dLbl>
                    <c:idx val="1"/>
                    <c:delete val="1"/>
                    <c:extLst>
                      <c:ext uri="{CE6537A1-D6FC-4f65-9D91-7224C49458BB}"/>
                      <c:ext xmlns:c16="http://schemas.microsoft.com/office/drawing/2014/chart" uri="{C3380CC4-5D6E-409C-BE32-E72D297353CC}">
                        <c16:uniqueId val="{0000000B-C26F-4B64-AAB7-68D4B94472C2}"/>
                      </c:ext>
                    </c:extLst>
                  </c15:dLbl>
                </c15:categoryFilterException>
                <c15:categoryFilterException>
                  <c15:sqref>'Mieszkalne - emisja'!$AH$11</c15:sqref>
                  <c15:spPr xmlns:c15="http://schemas.microsoft.com/office/drawing/2012/chart">
                    <a:solidFill>
                      <a:schemeClr val="accent2">
                        <a:lumMod val="80000"/>
                        <a:lumOff val="20000"/>
                      </a:schemeClr>
                    </a:solidFill>
                    <a:ln>
                      <a:noFill/>
                    </a:ln>
                    <a:effectLst/>
                  </c15:spPr>
                  <c15:bubble3D val="0"/>
                </c15:categoryFilterException>
              </c15:categoryFilterExceptions>
            </c:ext>
            <c:ext xmlns:c16="http://schemas.microsoft.com/office/drawing/2014/chart" uri="{C3380CC4-5D6E-409C-BE32-E72D297353CC}">
              <c16:uniqueId val="{00000004-335F-438D-881C-09FEE14F286E}"/>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1"/>
                <c:order val="1"/>
                <c:dPt>
                  <c:idx val="0"/>
                  <c:bubble3D val="0"/>
                  <c:spPr>
                    <a:solidFill>
                      <a:schemeClr val="accent2"/>
                    </a:solidFill>
                    <a:ln>
                      <a:noFill/>
                    </a:ln>
                    <a:effectLst/>
                  </c:spPr>
                  <c:extLst>
                    <c:ext xmlns:c16="http://schemas.microsoft.com/office/drawing/2014/chart" uri="{C3380CC4-5D6E-409C-BE32-E72D297353CC}">
                      <c16:uniqueId val="{00000006-335F-438D-881C-09FEE14F286E}"/>
                    </c:ext>
                  </c:extLst>
                </c:dPt>
                <c:dPt>
                  <c:idx val="1"/>
                  <c:bubble3D val="0"/>
                  <c:spPr>
                    <a:solidFill>
                      <a:schemeClr val="accent4"/>
                    </a:solidFill>
                    <a:ln>
                      <a:noFill/>
                    </a:ln>
                    <a:effectLst/>
                  </c:spPr>
                  <c:extLst>
                    <c:ext xmlns:c16="http://schemas.microsoft.com/office/drawing/2014/chart" uri="{C3380CC4-5D6E-409C-BE32-E72D297353CC}">
                      <c16:uniqueId val="{00000008-335F-438D-881C-09FEE14F286E}"/>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pl-PL"/>
                    </a:p>
                  </c:txPr>
                  <c:showLegendKey val="0"/>
                  <c:showVal val="1"/>
                  <c:showCatName val="0"/>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uri="{CE6537A1-D6FC-4f65-9D91-7224C49458BB}"/>
                  </c:extLst>
                </c:dLbls>
                <c:cat>
                  <c:strRef>
                    <c:extLst>
                      <c:ext uri="{02D57815-91ED-43cb-92C2-25804820EDAC}">
                        <c15:fullRef>
                          <c15:sqref>'Mieszkalne - emisja'!$AG$5:$AG$12</c15:sqref>
                        </c15:fullRef>
                        <c15:formulaRef>
                          <c15:sqref>('Mieszkalne - emisja'!$AG$5,'Mieszkalne - emisja'!$AG$7)</c15:sqref>
                        </c15:formulaRef>
                      </c:ext>
                    </c:extLst>
                    <c:strCache>
                      <c:ptCount val="2"/>
                      <c:pt idx="0">
                        <c:v>węgiel</c:v>
                      </c:pt>
                      <c:pt idx="1">
                        <c:v>drewno</c:v>
                      </c:pt>
                    </c:strCache>
                  </c:strRef>
                </c:cat>
                <c:val>
                  <c:numRef>
                    <c:extLst>
                      <c:ext uri="{02D57815-91ED-43cb-92C2-25804820EDAC}">
                        <c15:fullRef>
                          <c15:sqref>'Mieszkalne - emisja'!$AH$5:$AH$12</c15:sqref>
                        </c15:fullRef>
                        <c15:formulaRef>
                          <c15:sqref>('Mieszkalne - emisja'!$AH$5,'Mieszkalne - emisja'!$AH$7)</c15:sqref>
                        </c15:formulaRef>
                      </c:ext>
                    </c:extLst>
                    <c:numCache>
                      <c:formatCode>_-* #\ ##0\ _z_ł_-;\-* #\ ##0\ _z_ł_-;_-* "-"??\ _z_ł_-;_-@_-</c:formatCode>
                      <c:ptCount val="2"/>
                      <c:pt idx="0">
                        <c:v>62314.189263906759</c:v>
                      </c:pt>
                      <c:pt idx="1">
                        <c:v>18882.772307073956</c:v>
                      </c:pt>
                    </c:numCache>
                  </c:numRef>
                </c:val>
                <c:extLst>
                  <c:ext uri="{02D57815-91ED-43cb-92C2-25804820EDAC}">
                    <c15:categoryFilterExceptions>
                      <c15:categoryFilterException>
                        <c15:sqref>'Mieszkalne - emisja'!$AH$6</c15:sqref>
                        <c15:spPr xmlns:c15="http://schemas.microsoft.com/office/drawing/2012/chart">
                          <a:solidFill>
                            <a:schemeClr val="accent4"/>
                          </a:solidFill>
                          <a:ln>
                            <a:noFill/>
                          </a:ln>
                          <a:effectLst/>
                        </c15:spPr>
                        <c15:bubble3D val="0"/>
                      </c15:categoryFilterException>
                      <c15:categoryFilterException>
                        <c15:sqref>'Mieszkalne - emisja'!$AH$8</c15:sqref>
                        <c15:dLbl>
                          <c:idx val="1"/>
                          <c:delete val="1"/>
                          <c:extLst>
                            <c:ext uri="{CE6537A1-D6FC-4f65-9D91-7224C49458BB}"/>
                            <c:ext xmlns:c16="http://schemas.microsoft.com/office/drawing/2014/chart" uri="{C3380CC4-5D6E-409C-BE32-E72D297353CC}">
                              <c16:uniqueId val="{00000010-C26F-4B64-AAB7-68D4B94472C2}"/>
                            </c:ext>
                          </c:extLst>
                        </c15:dLbl>
                      </c15:categoryFilterException>
                      <c15:categoryFilterException>
                        <c15:sqref>'Mieszkalne - emisja'!$AH$9</c15:sqref>
                        <c15:dLbl>
                          <c:idx val="1"/>
                          <c:delete val="1"/>
                          <c:extLst>
                            <c:ext uri="{CE6537A1-D6FC-4f65-9D91-7224C49458BB}"/>
                            <c:ext xmlns:c16="http://schemas.microsoft.com/office/drawing/2014/chart" uri="{C3380CC4-5D6E-409C-BE32-E72D297353CC}">
                              <c16:uniqueId val="{00000011-C26F-4B64-AAB7-68D4B94472C2}"/>
                            </c:ext>
                          </c:extLst>
                        </c15:dLbl>
                      </c15:categoryFilterException>
                      <c15:categoryFilterException>
                        <c15:sqref>'Mieszkalne - emisja'!$AH$10</c15:sqref>
                        <c15:spPr xmlns:c15="http://schemas.microsoft.com/office/drawing/2012/chart">
                          <a:solidFill>
                            <a:schemeClr val="accent6">
                              <a:lumMod val="60000"/>
                            </a:schemeClr>
                          </a:solidFill>
                          <a:ln>
                            <a:noFill/>
                          </a:ln>
                          <a:effectLst/>
                        </c15:spPr>
                        <c15:bubble3D val="0"/>
                        <c15:dLbl>
                          <c:idx val="1"/>
                          <c:layout>
                            <c:manualLayout>
                              <c:x val="-2.4954350898793179E-2"/>
                              <c:y val="5.5078153863359049E-2"/>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13-C26F-4B64-AAB7-68D4B94472C2}"/>
                            </c:ext>
                          </c:extLst>
                        </c15:dLbl>
                      </c15:categoryFilterException>
                      <c15:categoryFilterException>
                        <c15:sqref>'Mieszkalne - emisja'!$AH$11</c15:sqref>
                        <c15:spPr xmlns:c15="http://schemas.microsoft.com/office/drawing/2012/chart">
                          <a:solidFill>
                            <a:schemeClr val="accent2">
                              <a:lumMod val="80000"/>
                              <a:lumOff val="20000"/>
                            </a:schemeClr>
                          </a:solidFill>
                          <a:ln>
                            <a:noFill/>
                          </a:ln>
                          <a:effectLst/>
                        </c15:spPr>
                        <c15:bubble3D val="0"/>
                        <c15:dLbl>
                          <c:idx val="1"/>
                          <c:layout>
                            <c:manualLayout>
                              <c:x val="8.3717822370144857E-2"/>
                              <c:y val="-1.4234561726987982E-2"/>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15-C26F-4B64-AAB7-68D4B94472C2}"/>
                            </c:ext>
                          </c:extLst>
                        </c15:dLbl>
                      </c15:categoryFilterException>
                    </c15:categoryFilterExceptions>
                  </c:ext>
                  <c:ext xmlns:c16="http://schemas.microsoft.com/office/drawing/2014/chart" uri="{C3380CC4-5D6E-409C-BE32-E72D297353CC}">
                    <c16:uniqueId val="{00000009-335F-438D-881C-09FEE14F286E}"/>
                  </c:ext>
                </c:extLst>
              </c15:ser>
            </c15:filteredPieSeries>
          </c:ext>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pl-PL"/>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pl-P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pl-PL" sz="1200" b="1" i="0" baseline="0">
                <a:effectLst/>
              </a:rPr>
              <a:t>Emisja zanieczyzczeń - przemysł [Mg/rok]</a:t>
            </a:r>
            <a:endParaRPr lang="pl-PL" sz="1200">
              <a:effectLst/>
            </a:endParaRPr>
          </a:p>
        </c:rich>
      </c:tx>
      <c:overlay val="1"/>
    </c:title>
    <c:autoTitleDeleted val="0"/>
    <c:plotArea>
      <c:layout>
        <c:manualLayout>
          <c:layoutTarget val="inner"/>
          <c:xMode val="edge"/>
          <c:yMode val="edge"/>
          <c:x val="5.954948211666438E-2"/>
          <c:y val="6.7230884269575186E-2"/>
          <c:w val="0.91517467740736091"/>
          <c:h val="0.82764235821236165"/>
        </c:manualLayout>
      </c:layout>
      <c:barChart>
        <c:barDir val="col"/>
        <c:grouping val="clustered"/>
        <c:varyColors val="0"/>
        <c:ser>
          <c:idx val="0"/>
          <c:order val="0"/>
          <c:invertIfNegative val="0"/>
          <c:cat>
            <c:strRef>
              <c:f>'Przedsiębiorcy, przemysł'!$AQ$3:$AW$3</c:f>
              <c:strCache>
                <c:ptCount val="7"/>
                <c:pt idx="0">
                  <c:v>PM 10</c:v>
                </c:pt>
                <c:pt idx="1">
                  <c:v>PM 2,5</c:v>
                </c:pt>
                <c:pt idx="2">
                  <c:v>CO2*</c:v>
                </c:pt>
                <c:pt idx="3">
                  <c:v>BaP</c:v>
                </c:pt>
                <c:pt idx="4">
                  <c:v>S02</c:v>
                </c:pt>
                <c:pt idx="5">
                  <c:v>N0x</c:v>
                </c:pt>
                <c:pt idx="6">
                  <c:v>CO</c:v>
                </c:pt>
              </c:strCache>
            </c:strRef>
          </c:cat>
          <c:val>
            <c:numRef>
              <c:f>'Przedsiębiorcy, przemysł'!$AQ$10:$AW$10</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3AC6-4EC5-8180-BE4D0C92A15F}"/>
            </c:ext>
          </c:extLst>
        </c:ser>
        <c:dLbls>
          <c:showLegendKey val="0"/>
          <c:showVal val="0"/>
          <c:showCatName val="0"/>
          <c:showSerName val="0"/>
          <c:showPercent val="0"/>
          <c:showBubbleSize val="0"/>
        </c:dLbls>
        <c:gapWidth val="150"/>
        <c:axId val="199160320"/>
        <c:axId val="197458112"/>
      </c:barChart>
      <c:catAx>
        <c:axId val="199160320"/>
        <c:scaling>
          <c:orientation val="minMax"/>
        </c:scaling>
        <c:delete val="0"/>
        <c:axPos val="b"/>
        <c:numFmt formatCode="General" sourceLinked="0"/>
        <c:majorTickMark val="out"/>
        <c:minorTickMark val="none"/>
        <c:tickLblPos val="nextTo"/>
        <c:crossAx val="197458112"/>
        <c:crosses val="autoZero"/>
        <c:auto val="1"/>
        <c:lblAlgn val="ctr"/>
        <c:lblOffset val="100"/>
        <c:noMultiLvlLbl val="0"/>
      </c:catAx>
      <c:valAx>
        <c:axId val="197458112"/>
        <c:scaling>
          <c:orientation val="minMax"/>
        </c:scaling>
        <c:delete val="0"/>
        <c:axPos val="l"/>
        <c:majorGridlines/>
        <c:numFmt formatCode="General" sourceLinked="0"/>
        <c:majorTickMark val="out"/>
        <c:minorTickMark val="none"/>
        <c:tickLblPos val="nextTo"/>
        <c:crossAx val="199160320"/>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baseline="0">
                <a:effectLst/>
              </a:rPr>
              <a:t>Emisja zanieczyszczeń - </a:t>
            </a:r>
            <a:r>
              <a:rPr lang="pl-PL" sz="1200" b="1" i="0" baseline="0">
                <a:effectLst/>
              </a:rPr>
              <a:t>przemysł</a:t>
            </a:r>
            <a:r>
              <a:rPr lang="en-US" sz="1200" b="1" i="0" baseline="0">
                <a:effectLst/>
              </a:rPr>
              <a:t> [Mg/rok]</a:t>
            </a:r>
            <a:endParaRPr lang="pl-PL" sz="1200">
              <a:effectLst/>
            </a:endParaRPr>
          </a:p>
        </c:rich>
      </c:tx>
      <c:overlay val="1"/>
    </c:title>
    <c:autoTitleDeleted val="0"/>
    <c:plotArea>
      <c:layout/>
      <c:barChart>
        <c:barDir val="col"/>
        <c:grouping val="clustered"/>
        <c:varyColors val="0"/>
        <c:ser>
          <c:idx val="0"/>
          <c:order val="0"/>
          <c:invertIfNegative val="0"/>
          <c:cat>
            <c:strRef>
              <c:f>Przemy!$Y$4:$AE$4</c:f>
              <c:strCache>
                <c:ptCount val="7"/>
                <c:pt idx="0">
                  <c:v>PM 10</c:v>
                </c:pt>
                <c:pt idx="1">
                  <c:v>PM 2,5</c:v>
                </c:pt>
                <c:pt idx="2">
                  <c:v>CO2*</c:v>
                </c:pt>
                <c:pt idx="3">
                  <c:v>BaP</c:v>
                </c:pt>
                <c:pt idx="4">
                  <c:v>S02</c:v>
                </c:pt>
                <c:pt idx="5">
                  <c:v>N0x</c:v>
                </c:pt>
                <c:pt idx="6">
                  <c:v>CO</c:v>
                </c:pt>
              </c:strCache>
            </c:strRef>
          </c:cat>
          <c:val>
            <c:numRef>
              <c:f>Przemy!$Y$14:$AE$14</c:f>
              <c:numCache>
                <c:formatCode>0.000</c:formatCode>
                <c:ptCount val="7"/>
                <c:pt idx="0">
                  <c:v>1.338165E-2</c:v>
                </c:pt>
                <c:pt idx="1">
                  <c:v>1.196565E-2</c:v>
                </c:pt>
                <c:pt idx="2" formatCode="General">
                  <c:v>0.41986080565832451</c:v>
                </c:pt>
                <c:pt idx="3">
                  <c:v>1.5930000000000002E-5</c:v>
                </c:pt>
                <c:pt idx="4">
                  <c:v>5.3206650000000001E-2</c:v>
                </c:pt>
                <c:pt idx="5">
                  <c:v>1.9986999999999998E-2</c:v>
                </c:pt>
                <c:pt idx="6">
                  <c:v>0.12028548983012963</c:v>
                </c:pt>
              </c:numCache>
            </c:numRef>
          </c:val>
          <c:extLst>
            <c:ext xmlns:c16="http://schemas.microsoft.com/office/drawing/2014/chart" uri="{C3380CC4-5D6E-409C-BE32-E72D297353CC}">
              <c16:uniqueId val="{00000000-934E-44FC-8526-9A476BF6F6B1}"/>
            </c:ext>
          </c:extLst>
        </c:ser>
        <c:dLbls>
          <c:showLegendKey val="0"/>
          <c:showVal val="0"/>
          <c:showCatName val="0"/>
          <c:showSerName val="0"/>
          <c:showPercent val="0"/>
          <c:showBubbleSize val="0"/>
        </c:dLbls>
        <c:gapWidth val="150"/>
        <c:axId val="195989504"/>
        <c:axId val="196208896"/>
      </c:barChart>
      <c:catAx>
        <c:axId val="195989504"/>
        <c:scaling>
          <c:orientation val="minMax"/>
        </c:scaling>
        <c:delete val="0"/>
        <c:axPos val="b"/>
        <c:numFmt formatCode="General" sourceLinked="0"/>
        <c:majorTickMark val="out"/>
        <c:minorTickMark val="none"/>
        <c:tickLblPos val="nextTo"/>
        <c:crossAx val="196208896"/>
        <c:crosses val="autoZero"/>
        <c:auto val="1"/>
        <c:lblAlgn val="ctr"/>
        <c:lblOffset val="100"/>
        <c:noMultiLvlLbl val="0"/>
      </c:catAx>
      <c:valAx>
        <c:axId val="196208896"/>
        <c:scaling>
          <c:orientation val="minMax"/>
        </c:scaling>
        <c:delete val="0"/>
        <c:axPos val="l"/>
        <c:majorGridlines/>
        <c:numFmt formatCode="General" sourceLinked="0"/>
        <c:majorTickMark val="out"/>
        <c:minorTickMark val="none"/>
        <c:tickLblPos val="nextTo"/>
        <c:crossAx val="195989504"/>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l-PL" sz="1200" b="1" i="0" baseline="0">
                <a:effectLst/>
              </a:rPr>
              <a:t>Struktura zużycia energii z poszczególnych paliw - przemysł  [GJ/rok] </a:t>
            </a:r>
            <a:endParaRPr lang="pl-PL" sz="1200">
              <a:effectLst/>
            </a:endParaRPr>
          </a:p>
        </c:rich>
      </c:tx>
      <c:overlay val="1"/>
    </c:title>
    <c:autoTitleDeleted val="0"/>
    <c:plotArea>
      <c:layout>
        <c:manualLayout>
          <c:layoutTarget val="inner"/>
          <c:xMode val="edge"/>
          <c:yMode val="edge"/>
          <c:x val="7.0054134249757372E-2"/>
          <c:y val="0.18884451909136771"/>
          <c:w val="0.53623116637232904"/>
          <c:h val="0.76677693076396758"/>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Przemy!$AG$5:$AG$11</c:f>
              <c:strCache>
                <c:ptCount val="7"/>
                <c:pt idx="0">
                  <c:v>węgiel</c:v>
                </c:pt>
                <c:pt idx="1">
                  <c:v>gaz </c:v>
                </c:pt>
                <c:pt idx="2">
                  <c:v>drewno</c:v>
                </c:pt>
                <c:pt idx="3">
                  <c:v>pelet</c:v>
                </c:pt>
                <c:pt idx="4">
                  <c:v>olej</c:v>
                </c:pt>
                <c:pt idx="5">
                  <c:v>prąd</c:v>
                </c:pt>
                <c:pt idx="6">
                  <c:v>OŹE (kolektory sloneczne)</c:v>
                </c:pt>
              </c:strCache>
            </c:strRef>
          </c:cat>
          <c:val>
            <c:numRef>
              <c:f>Przemy!$AH$5:$AH$11</c:f>
              <c:numCache>
                <c:formatCode>_-* #\ ##0\ _z_ł_-;\-* #\ ##0\ _z_ł_-;_-* "-"??\ _z_ł_-;_-@_-</c:formatCode>
                <c:ptCount val="7"/>
              </c:numCache>
            </c:numRef>
          </c:val>
          <c:extLst>
            <c:ext xmlns:c16="http://schemas.microsoft.com/office/drawing/2014/chart" uri="{C3380CC4-5D6E-409C-BE32-E72D297353CC}">
              <c16:uniqueId val="{00000000-AC12-45D6-8A60-DD802B6915C2}"/>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pl-PL"/>
        </a:p>
      </c:txPr>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10</xdr:col>
      <xdr:colOff>67665</xdr:colOff>
      <xdr:row>14</xdr:row>
      <xdr:rowOff>100852</xdr:rowOff>
    </xdr:from>
    <xdr:to>
      <xdr:col>36</xdr:col>
      <xdr:colOff>448665</xdr:colOff>
      <xdr:row>32</xdr:row>
      <xdr:rowOff>0</xdr:rowOff>
    </xdr:to>
    <xdr:graphicFrame macro="">
      <xdr:nvGraphicFramePr>
        <xdr:cNvPr id="4" name="Wykres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37</xdr:col>
      <xdr:colOff>22411</xdr:colOff>
      <xdr:row>14</xdr:row>
      <xdr:rowOff>134470</xdr:rowOff>
    </xdr:from>
    <xdr:to>
      <xdr:col>43</xdr:col>
      <xdr:colOff>661147</xdr:colOff>
      <xdr:row>32</xdr:row>
      <xdr:rowOff>31377</xdr:rowOff>
    </xdr:to>
    <xdr:graphicFrame macro="">
      <xdr:nvGraphicFramePr>
        <xdr:cNvPr id="5" name="Wykres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9</xdr:col>
      <xdr:colOff>219074</xdr:colOff>
      <xdr:row>1</xdr:row>
      <xdr:rowOff>100012</xdr:rowOff>
    </xdr:from>
    <xdr:to>
      <xdr:col>16</xdr:col>
      <xdr:colOff>628649</xdr:colOff>
      <xdr:row>10</xdr:row>
      <xdr:rowOff>280987</xdr:rowOff>
    </xdr:to>
    <xdr:graphicFrame macro="">
      <xdr:nvGraphicFramePr>
        <xdr:cNvPr id="2" name="Wykres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12</xdr:row>
      <xdr:rowOff>114300</xdr:rowOff>
    </xdr:from>
    <xdr:to>
      <xdr:col>9</xdr:col>
      <xdr:colOff>142875</xdr:colOff>
      <xdr:row>28</xdr:row>
      <xdr:rowOff>138112</xdr:rowOff>
    </xdr:to>
    <xdr:graphicFrame macro="">
      <xdr:nvGraphicFramePr>
        <xdr:cNvPr id="4" name="Wykres 3">
          <a:extLst>
            <a:ext uri="{FF2B5EF4-FFF2-40B4-BE49-F238E27FC236}">
              <a16:creationId xmlns:a16="http://schemas.microsoft.com/office/drawing/2014/main" id="{00000000-0008-0000-1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247650</xdr:colOff>
      <xdr:row>12</xdr:row>
      <xdr:rowOff>133350</xdr:rowOff>
    </xdr:from>
    <xdr:to>
      <xdr:col>16</xdr:col>
      <xdr:colOff>609600</xdr:colOff>
      <xdr:row>28</xdr:row>
      <xdr:rowOff>133350</xdr:rowOff>
    </xdr:to>
    <xdr:graphicFrame macro="">
      <xdr:nvGraphicFramePr>
        <xdr:cNvPr id="5" name="Wykres 4">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89647</xdr:colOff>
      <xdr:row>13</xdr:row>
      <xdr:rowOff>145676</xdr:rowOff>
    </xdr:from>
    <xdr:to>
      <xdr:col>32</xdr:col>
      <xdr:colOff>470647</xdr:colOff>
      <xdr:row>32</xdr:row>
      <xdr:rowOff>11205</xdr:rowOff>
    </xdr:to>
    <xdr:graphicFrame macro="">
      <xdr:nvGraphicFramePr>
        <xdr:cNvPr id="2" name="Wykres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33</xdr:col>
      <xdr:colOff>22412</xdr:colOff>
      <xdr:row>13</xdr:row>
      <xdr:rowOff>123264</xdr:rowOff>
    </xdr:from>
    <xdr:to>
      <xdr:col>39</xdr:col>
      <xdr:colOff>672353</xdr:colOff>
      <xdr:row>32</xdr:row>
      <xdr:rowOff>168087</xdr:rowOff>
    </xdr:to>
    <xdr:graphicFrame macro="">
      <xdr:nvGraphicFramePr>
        <xdr:cNvPr id="3" name="Wykres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89647</xdr:colOff>
      <xdr:row>13</xdr:row>
      <xdr:rowOff>145676</xdr:rowOff>
    </xdr:from>
    <xdr:to>
      <xdr:col>27</xdr:col>
      <xdr:colOff>470647</xdr:colOff>
      <xdr:row>32</xdr:row>
      <xdr:rowOff>11205</xdr:rowOff>
    </xdr:to>
    <xdr:graphicFrame macro="">
      <xdr:nvGraphicFramePr>
        <xdr:cNvPr id="4" name="Wykres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22412</xdr:colOff>
      <xdr:row>13</xdr:row>
      <xdr:rowOff>123264</xdr:rowOff>
    </xdr:from>
    <xdr:to>
      <xdr:col>34</xdr:col>
      <xdr:colOff>672353</xdr:colOff>
      <xdr:row>32</xdr:row>
      <xdr:rowOff>168087</xdr:rowOff>
    </xdr:to>
    <xdr:graphicFrame macro="">
      <xdr:nvGraphicFramePr>
        <xdr:cNvPr id="3" name="Wykres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33131</xdr:colOff>
      <xdr:row>9</xdr:row>
      <xdr:rowOff>82826</xdr:rowOff>
    </xdr:from>
    <xdr:to>
      <xdr:col>22</xdr:col>
      <xdr:colOff>281609</xdr:colOff>
      <xdr:row>30</xdr:row>
      <xdr:rowOff>82826</xdr:rowOff>
    </xdr:to>
    <xdr:graphicFrame macro="">
      <xdr:nvGraphicFramePr>
        <xdr:cNvPr id="2" name="Wykres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xdr:col>
      <xdr:colOff>89647</xdr:colOff>
      <xdr:row>15</xdr:row>
      <xdr:rowOff>33618</xdr:rowOff>
    </xdr:from>
    <xdr:to>
      <xdr:col>27</xdr:col>
      <xdr:colOff>162804</xdr:colOff>
      <xdr:row>27</xdr:row>
      <xdr:rowOff>149158</xdr:rowOff>
    </xdr:to>
    <xdr:graphicFrame macro="">
      <xdr:nvGraphicFramePr>
        <xdr:cNvPr id="2" name="Wykres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22412</xdr:colOff>
      <xdr:row>15</xdr:row>
      <xdr:rowOff>22412</xdr:rowOff>
    </xdr:from>
    <xdr:to>
      <xdr:col>33</xdr:col>
      <xdr:colOff>758799</xdr:colOff>
      <xdr:row>32</xdr:row>
      <xdr:rowOff>31377</xdr:rowOff>
    </xdr:to>
    <xdr:graphicFrame macro="">
      <xdr:nvGraphicFramePr>
        <xdr:cNvPr id="3" name="Wykres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89647</xdr:colOff>
      <xdr:row>13</xdr:row>
      <xdr:rowOff>100852</xdr:rowOff>
    </xdr:from>
    <xdr:to>
      <xdr:col>27</xdr:col>
      <xdr:colOff>560294</xdr:colOff>
      <xdr:row>32</xdr:row>
      <xdr:rowOff>11205</xdr:rowOff>
    </xdr:to>
    <xdr:graphicFrame macro="">
      <xdr:nvGraphicFramePr>
        <xdr:cNvPr id="2" name="Wykres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78441</xdr:colOff>
      <xdr:row>13</xdr:row>
      <xdr:rowOff>89647</xdr:rowOff>
    </xdr:from>
    <xdr:to>
      <xdr:col>35</xdr:col>
      <xdr:colOff>0</xdr:colOff>
      <xdr:row>32</xdr:row>
      <xdr:rowOff>31377</xdr:rowOff>
    </xdr:to>
    <xdr:graphicFrame macro="">
      <xdr:nvGraphicFramePr>
        <xdr:cNvPr id="3" name="Wykres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236393</xdr:colOff>
      <xdr:row>23</xdr:row>
      <xdr:rowOff>132522</xdr:rowOff>
    </xdr:from>
    <xdr:to>
      <xdr:col>18</xdr:col>
      <xdr:colOff>188568</xdr:colOff>
      <xdr:row>41</xdr:row>
      <xdr:rowOff>93518</xdr:rowOff>
    </xdr:to>
    <xdr:graphicFrame macro="">
      <xdr:nvGraphicFramePr>
        <xdr:cNvPr id="2" name="Wykres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14</xdr:row>
      <xdr:rowOff>44824</xdr:rowOff>
    </xdr:from>
    <xdr:to>
      <xdr:col>6</xdr:col>
      <xdr:colOff>450474</xdr:colOff>
      <xdr:row>36</xdr:row>
      <xdr:rowOff>134470</xdr:rowOff>
    </xdr:to>
    <xdr:graphicFrame macro="">
      <xdr:nvGraphicFramePr>
        <xdr:cNvPr id="2" name="Wykres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85724</xdr:colOff>
      <xdr:row>0</xdr:row>
      <xdr:rowOff>180975</xdr:rowOff>
    </xdr:from>
    <xdr:to>
      <xdr:col>21</xdr:col>
      <xdr:colOff>628650</xdr:colOff>
      <xdr:row>15</xdr:row>
      <xdr:rowOff>142875</xdr:rowOff>
    </xdr:to>
    <xdr:graphicFrame macro="">
      <xdr:nvGraphicFramePr>
        <xdr:cNvPr id="2" name="Wykres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IGSINSPACE\Sucha%20Beskidzka\Sucha%20Beskidzka\BAZA\!!!!!!!POPRAWA\!!!!!!!POPRAWA\1.BAZA%20DANYCH%20Gmina%20Sucha%20Beskidzk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GSINSPACE\Sucha%20Beskidzka\Miasto%20Jordan&#243;w\Baza%20Jordan&#243;w\Aktualna%20BAZA%20Miasto%20Jordan&#243;w\1.BAZA%20DANYCH%20Gmina%20Miasto%20Jordan&#243;w.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IGSINSPACE\Go&#322;cza\BAZA\GOTOWA%20BAZA%20i%20EFEKT\Baza%20inwentaryzacji%20emisji%20(BEI)%20-Gmina%20Go&#322;cza%20-%20Kopi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IGSINSPACE\Lord%20Vader\Rak&#243;w\OPRACOWANIE\do%20wys&#322;ania\KOrekta%20WFO&#346;\II%20poprawa%20wfo&#347;igw\wys&#322;any%20doradcy%20z%20torunia\Baza%20inwentaryzacji%20emisji%20(BEI)%20-Gmina%20Rak&#243;w.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20GRACZKOWSKI%20DOTACJE%20Sp.%20z%20o.o.%202019/ROK%202021/3%20DOKUMENTY%20STRATEGICZNE/1%20PGN/0%20POSZ&#321;O%20DO%20RDS/2%20PGN%20SOBK&#211;W%20+/BEI_aktualizacja%2025.02.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ja"/>
      <sheetName val="Założenia,wskaźniki, listy"/>
      <sheetName val="Budynki komunalne "/>
      <sheetName val="emisja Budynki komunalne"/>
      <sheetName val="Oświetlenie uliczne"/>
      <sheetName val="Wielorodzinne baza"/>
      <sheetName val="Wielorodz.emisja"/>
      <sheetName val="Mieszkalne baza"/>
      <sheetName val="Mieszkalne emisja"/>
      <sheetName val="Przedsiębiorcy, przemysł"/>
      <sheetName val="Przemysł"/>
      <sheetName val="Budynki usł.-użytk."/>
      <sheetName val="Transport"/>
      <sheetName val="Energia łącznie"/>
      <sheetName val="Paliwa łącznie"/>
      <sheetName val="Łączna emisja"/>
      <sheetName val="Arkusz1"/>
      <sheetName val="listy wybieral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ja"/>
      <sheetName val="Założenia,wskaźniki, listy"/>
      <sheetName val="Budynki komunalne "/>
      <sheetName val="emisja Budynki komunalne"/>
      <sheetName val="Oświetlenie uliczne"/>
      <sheetName val=" Wielorodzinne baza"/>
      <sheetName val="Wielorodz.emisja"/>
      <sheetName val="Mieszkalne baza"/>
      <sheetName val="Mieszkalne emisja"/>
      <sheetName val="Przedsiębiorcy, przemysł"/>
      <sheetName val="Przemysł"/>
      <sheetName val="Budynki usł.-użytk."/>
      <sheetName val="Transport"/>
      <sheetName val="Energia łącznie"/>
      <sheetName val="Paliwa łącznie"/>
      <sheetName val="Łączna emisja"/>
      <sheetName val="Arkusz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ja"/>
      <sheetName val="Z"/>
      <sheetName val="Założenia,wskaźniki, listy"/>
      <sheetName val="Budynki komunalne "/>
      <sheetName val="emisja Budynki komunalne"/>
      <sheetName val="Oświetlenie uliczne"/>
      <sheetName val="Mieszkalne baza"/>
      <sheetName val="Mieszkalne emisja"/>
      <sheetName val="Przemysł"/>
      <sheetName val="Przedsiębiorcy, przemysł"/>
      <sheetName val="Przemy"/>
      <sheetName val="Budynki usł.-użytk."/>
      <sheetName val="Transport"/>
      <sheetName val="Energia łącznie"/>
      <sheetName val="Paliwa łącznie"/>
      <sheetName val="Łączna emisja"/>
      <sheetName val="Arkusz1"/>
    </sheetNames>
    <sheetDataSet>
      <sheetData sheetId="0"/>
      <sheetData sheetId="1">
        <row r="44">
          <cell r="C44">
            <v>1.9000000000000001E-4</v>
          </cell>
        </row>
      </sheetData>
      <sheetData sheetId="2">
        <row r="4">
          <cell r="B4">
            <v>22.63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ja"/>
      <sheetName val="Z"/>
      <sheetName val="Założenia,wskaźniki, listy"/>
      <sheetName val="Budynki komunalne - baza "/>
      <sheetName val="Budynki komunalne emisja"/>
      <sheetName val="Oświetlenie uliczne"/>
      <sheetName val="Mieszkalne baza"/>
      <sheetName val="Mieszkalne emisja"/>
      <sheetName val="Przedsiębiorcy, przemysł"/>
      <sheetName val="Przemy"/>
      <sheetName val="Budynki usł.-użytk."/>
      <sheetName val="Przemysł"/>
      <sheetName val="Arkusz2"/>
      <sheetName val="Transport"/>
      <sheetName val="Energia sektory łącznie"/>
      <sheetName val="Struktura paliw łącznie"/>
      <sheetName val="Łączna emisja"/>
      <sheetName val="na mieszk do prezentacji"/>
      <sheetName val="Prezentacja wyników - MWh"/>
      <sheetName val="Prezentacja wyników - CO2"/>
      <sheetName val="Arkusz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6">
          <cell r="C26">
            <v>28324.990863219948</v>
          </cell>
          <cell r="D26">
            <v>2030.7245354409722</v>
          </cell>
          <cell r="G26">
            <v>3060.1811461884809</v>
          </cell>
          <cell r="H26">
            <v>341.35175924976352</v>
          </cell>
          <cell r="I26">
            <v>948.33333333333314</v>
          </cell>
          <cell r="J26">
            <v>1096.7696666666666</v>
          </cell>
          <cell r="K26">
            <v>66136.513665441802</v>
          </cell>
        </row>
      </sheetData>
      <sheetData sheetId="16">
        <row r="5">
          <cell r="E5">
            <v>10741.298288571144</v>
          </cell>
        </row>
        <row r="6">
          <cell r="E6">
            <v>943.99472475768948</v>
          </cell>
        </row>
        <row r="7">
          <cell r="E7">
            <v>1186.02929926</v>
          </cell>
        </row>
        <row r="10">
          <cell r="E10">
            <v>324.28500000000003</v>
          </cell>
        </row>
      </sheetData>
      <sheetData sheetId="17" refreshError="1"/>
      <sheetData sheetId="18">
        <row r="15">
          <cell r="G15">
            <v>0</v>
          </cell>
        </row>
      </sheetData>
      <sheetData sheetId="19"/>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Wskaźniki"/>
      <sheetName val="Arkusz2"/>
      <sheetName val="Arkusz1"/>
      <sheetName val="Charakterystyka"/>
      <sheetName val="En. elektryczna"/>
      <sheetName val="Ruch lokalny"/>
      <sheetName val="Obiekty publiczne"/>
      <sheetName val="Ciepło obiekty publiczne"/>
      <sheetName val="Gospodarstwa domowe"/>
      <sheetName val="Ciepło"/>
      <sheetName val="Oświetlenie"/>
      <sheetName val="Podmioty gospodarcze"/>
      <sheetName val="Bilans zużycia energii"/>
      <sheetName val="Bilans emisji CO2"/>
      <sheetName val="Działania PGN 2020"/>
      <sheetName val="Działania PGN 2023"/>
      <sheetName val="REZULTATY 2020"/>
      <sheetName val="REZULTATY 202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5"/>
  <dimension ref="A1:H40"/>
  <sheetViews>
    <sheetView workbookViewId="0">
      <selection activeCell="F36" sqref="F36"/>
    </sheetView>
  </sheetViews>
  <sheetFormatPr defaultRowHeight="13.8"/>
  <cols>
    <col min="1" max="1" width="17.69921875" bestFit="1" customWidth="1"/>
    <col min="2" max="2" width="18.8984375" bestFit="1" customWidth="1"/>
    <col min="3" max="3" width="9.5" style="6" bestFit="1" customWidth="1"/>
    <col min="4" max="4" width="14" style="6" bestFit="1" customWidth="1"/>
    <col min="5" max="5" width="14" style="7" bestFit="1" customWidth="1"/>
    <col min="6" max="6" width="11.59765625" bestFit="1" customWidth="1"/>
    <col min="7" max="7" width="12" customWidth="1"/>
    <col min="8" max="8" width="6.19921875" customWidth="1"/>
  </cols>
  <sheetData>
    <row r="1" spans="1:8" s="1" customFormat="1" ht="42.6" thickTop="1" thickBot="1">
      <c r="A1" s="14" t="s">
        <v>14</v>
      </c>
      <c r="B1" s="15" t="s">
        <v>15</v>
      </c>
      <c r="C1" s="15" t="s">
        <v>18</v>
      </c>
      <c r="D1" s="15" t="s">
        <v>16</v>
      </c>
      <c r="E1" s="16" t="s">
        <v>17</v>
      </c>
      <c r="F1" s="23" t="s">
        <v>19</v>
      </c>
      <c r="G1" s="938" t="s">
        <v>12</v>
      </c>
      <c r="H1" s="939"/>
    </row>
    <row r="2" spans="1:8" ht="14.4" thickTop="1">
      <c r="A2" s="940" t="s">
        <v>2</v>
      </c>
      <c r="B2" s="5" t="s">
        <v>6</v>
      </c>
      <c r="C2" s="12" t="e">
        <f>SUMIFS(#REF!,#REF!,$A$2,#REF!,B2)</f>
        <v>#REF!</v>
      </c>
      <c r="D2" s="946" t="e">
        <f>#REF!</f>
        <v>#REF!</v>
      </c>
      <c r="E2" s="20" t="e">
        <f>C2*$D$2</f>
        <v>#REF!</v>
      </c>
      <c r="F2" s="17" t="e">
        <f>#REF!</f>
        <v>#REF!</v>
      </c>
      <c r="G2" s="13" t="e">
        <f>E2*F2/1000</f>
        <v>#REF!</v>
      </c>
      <c r="H2" s="934" t="e">
        <f>SUM(G2:G8)</f>
        <v>#REF!</v>
      </c>
    </row>
    <row r="3" spans="1:8">
      <c r="A3" s="941"/>
      <c r="B3" s="3" t="s">
        <v>7</v>
      </c>
      <c r="C3" s="12" t="e">
        <f>SUMIFS(#REF!,#REF!,$A$2,#REF!,B3)</f>
        <v>#REF!</v>
      </c>
      <c r="D3" s="947"/>
      <c r="E3" s="20" t="e">
        <f t="shared" ref="E3:E8" si="0">C3*$D$2</f>
        <v>#REF!</v>
      </c>
      <c r="F3" s="18" t="e">
        <f>#REF!</f>
        <v>#REF!</v>
      </c>
      <c r="G3" s="10" t="e">
        <f t="shared" ref="G3:G29" si="1">E3*F3/1000</f>
        <v>#REF!</v>
      </c>
      <c r="H3" s="935"/>
    </row>
    <row r="4" spans="1:8">
      <c r="A4" s="941"/>
      <c r="B4" s="3" t="s">
        <v>8</v>
      </c>
      <c r="C4" s="12" t="e">
        <f>SUMIFS(#REF!,#REF!,$A$2,#REF!,B4)</f>
        <v>#REF!</v>
      </c>
      <c r="D4" s="947"/>
      <c r="E4" s="20" t="e">
        <f t="shared" si="0"/>
        <v>#REF!</v>
      </c>
      <c r="F4" s="18" t="e">
        <f>#REF!</f>
        <v>#REF!</v>
      </c>
      <c r="G4" s="10" t="e">
        <f t="shared" si="1"/>
        <v>#REF!</v>
      </c>
      <c r="H4" s="935"/>
    </row>
    <row r="5" spans="1:8">
      <c r="A5" s="941"/>
      <c r="B5" s="3" t="s">
        <v>9</v>
      </c>
      <c r="C5" s="12" t="e">
        <f>SUMIFS(#REF!,#REF!,$A$2,#REF!,B5)</f>
        <v>#REF!</v>
      </c>
      <c r="D5" s="947"/>
      <c r="E5" s="20" t="e">
        <f t="shared" si="0"/>
        <v>#REF!</v>
      </c>
      <c r="F5" s="18" t="e">
        <f>#REF!</f>
        <v>#REF!</v>
      </c>
      <c r="G5" s="10" t="e">
        <f t="shared" si="1"/>
        <v>#REF!</v>
      </c>
      <c r="H5" s="935"/>
    </row>
    <row r="6" spans="1:8">
      <c r="A6" s="941"/>
      <c r="B6" s="3" t="s">
        <v>11</v>
      </c>
      <c r="C6" s="12" t="e">
        <f>SUMIFS(#REF!,#REF!,$A$2,#REF!,B6)</f>
        <v>#REF!</v>
      </c>
      <c r="D6" s="947"/>
      <c r="E6" s="20" t="e">
        <f t="shared" si="0"/>
        <v>#REF!</v>
      </c>
      <c r="F6" s="18" t="e">
        <f>#REF!</f>
        <v>#REF!</v>
      </c>
      <c r="G6" s="10" t="e">
        <f t="shared" si="1"/>
        <v>#REF!</v>
      </c>
      <c r="H6" s="935"/>
    </row>
    <row r="7" spans="1:8">
      <c r="A7" s="941"/>
      <c r="B7" s="3" t="s">
        <v>10</v>
      </c>
      <c r="C7" s="12" t="e">
        <f>SUMIFS(#REF!,#REF!,$A$2,#REF!,B7)</f>
        <v>#REF!</v>
      </c>
      <c r="D7" s="947"/>
      <c r="E7" s="20" t="e">
        <f t="shared" si="0"/>
        <v>#REF!</v>
      </c>
      <c r="F7" s="18" t="e">
        <f>#REF!</f>
        <v>#REF!</v>
      </c>
      <c r="G7" s="10" t="e">
        <f t="shared" si="1"/>
        <v>#REF!</v>
      </c>
      <c r="H7" s="935"/>
    </row>
    <row r="8" spans="1:8">
      <c r="A8" s="942"/>
      <c r="B8" s="3" t="s">
        <v>13</v>
      </c>
      <c r="C8" s="12" t="e">
        <f>SUMIFS(#REF!,#REF!,$A$2,#REF!,B8)</f>
        <v>#REF!</v>
      </c>
      <c r="D8" s="948"/>
      <c r="E8" s="20" t="e">
        <f t="shared" si="0"/>
        <v>#REF!</v>
      </c>
      <c r="F8" s="18" t="e">
        <f>#REF!</f>
        <v>#REF!</v>
      </c>
      <c r="G8" s="10" t="e">
        <f t="shared" si="1"/>
        <v>#REF!</v>
      </c>
      <c r="H8" s="935"/>
    </row>
    <row r="9" spans="1:8">
      <c r="A9" s="943" t="s">
        <v>3</v>
      </c>
      <c r="B9" s="3" t="s">
        <v>6</v>
      </c>
      <c r="C9" s="12" t="e">
        <f>SUMIFS(#REF!,#REF!,$A$9,#REF!,B9)</f>
        <v>#REF!</v>
      </c>
      <c r="D9" s="949" t="e">
        <f>#REF!</f>
        <v>#REF!</v>
      </c>
      <c r="E9" s="21" t="e">
        <f>C9*$D$9</f>
        <v>#REF!</v>
      </c>
      <c r="F9" s="17" t="e">
        <f>#REF!</f>
        <v>#REF!</v>
      </c>
      <c r="G9" s="10" t="e">
        <f t="shared" si="1"/>
        <v>#REF!</v>
      </c>
      <c r="H9" s="935" t="e">
        <f>SUM(G9:G15)</f>
        <v>#REF!</v>
      </c>
    </row>
    <row r="10" spans="1:8">
      <c r="A10" s="941"/>
      <c r="B10" s="3" t="s">
        <v>7</v>
      </c>
      <c r="C10" s="12" t="e">
        <f>SUMIFS(#REF!,#REF!,$A$9,#REF!,B10)</f>
        <v>#REF!</v>
      </c>
      <c r="D10" s="947"/>
      <c r="E10" s="21" t="e">
        <f t="shared" ref="E10:E15" si="2">C10*$D$9</f>
        <v>#REF!</v>
      </c>
      <c r="F10" s="18" t="e">
        <f>#REF!</f>
        <v>#REF!</v>
      </c>
      <c r="G10" s="10" t="e">
        <f t="shared" si="1"/>
        <v>#REF!</v>
      </c>
      <c r="H10" s="935"/>
    </row>
    <row r="11" spans="1:8">
      <c r="A11" s="941"/>
      <c r="B11" s="3" t="s">
        <v>8</v>
      </c>
      <c r="C11" s="12" t="e">
        <f>SUMIFS(#REF!,#REF!,$A$9,#REF!,B11)</f>
        <v>#REF!</v>
      </c>
      <c r="D11" s="947"/>
      <c r="E11" s="21" t="e">
        <f t="shared" si="2"/>
        <v>#REF!</v>
      </c>
      <c r="F11" s="18" t="e">
        <f>#REF!</f>
        <v>#REF!</v>
      </c>
      <c r="G11" s="10" t="e">
        <f t="shared" si="1"/>
        <v>#REF!</v>
      </c>
      <c r="H11" s="935"/>
    </row>
    <row r="12" spans="1:8">
      <c r="A12" s="941"/>
      <c r="B12" s="3" t="s">
        <v>9</v>
      </c>
      <c r="C12" s="12" t="e">
        <f>SUMIFS(#REF!,#REF!,$A$9,#REF!,B12)</f>
        <v>#REF!</v>
      </c>
      <c r="D12" s="947"/>
      <c r="E12" s="21" t="e">
        <f t="shared" si="2"/>
        <v>#REF!</v>
      </c>
      <c r="F12" s="18" t="e">
        <f>#REF!</f>
        <v>#REF!</v>
      </c>
      <c r="G12" s="10" t="e">
        <f t="shared" si="1"/>
        <v>#REF!</v>
      </c>
      <c r="H12" s="935"/>
    </row>
    <row r="13" spans="1:8">
      <c r="A13" s="941"/>
      <c r="B13" s="3" t="s">
        <v>11</v>
      </c>
      <c r="C13" s="12" t="e">
        <f>SUMIFS(#REF!,#REF!,$A$9,#REF!,B13)</f>
        <v>#REF!</v>
      </c>
      <c r="D13" s="947"/>
      <c r="E13" s="21" t="e">
        <f t="shared" si="2"/>
        <v>#REF!</v>
      </c>
      <c r="F13" s="18" t="e">
        <f>#REF!</f>
        <v>#REF!</v>
      </c>
      <c r="G13" s="10" t="e">
        <f t="shared" si="1"/>
        <v>#REF!</v>
      </c>
      <c r="H13" s="935"/>
    </row>
    <row r="14" spans="1:8">
      <c r="A14" s="941"/>
      <c r="B14" s="3" t="s">
        <v>10</v>
      </c>
      <c r="C14" s="12" t="e">
        <f>SUMIFS(#REF!,#REF!,$A$9,#REF!,B14)</f>
        <v>#REF!</v>
      </c>
      <c r="D14" s="947"/>
      <c r="E14" s="21" t="e">
        <f t="shared" si="2"/>
        <v>#REF!</v>
      </c>
      <c r="F14" s="18" t="e">
        <f>#REF!</f>
        <v>#REF!</v>
      </c>
      <c r="G14" s="10" t="e">
        <f t="shared" si="1"/>
        <v>#REF!</v>
      </c>
      <c r="H14" s="935"/>
    </row>
    <row r="15" spans="1:8">
      <c r="A15" s="942"/>
      <c r="B15" s="3" t="s">
        <v>13</v>
      </c>
      <c r="C15" s="12" t="e">
        <f>SUMIFS(#REF!,#REF!,$A$9,#REF!,B15)</f>
        <v>#REF!</v>
      </c>
      <c r="D15" s="948"/>
      <c r="E15" s="21" t="e">
        <f t="shared" si="2"/>
        <v>#REF!</v>
      </c>
      <c r="F15" s="18" t="e">
        <f>#REF!</f>
        <v>#REF!</v>
      </c>
      <c r="G15" s="10" t="e">
        <f t="shared" si="1"/>
        <v>#REF!</v>
      </c>
      <c r="H15" s="935"/>
    </row>
    <row r="16" spans="1:8">
      <c r="A16" s="943" t="s">
        <v>1</v>
      </c>
      <c r="B16" s="3" t="s">
        <v>6</v>
      </c>
      <c r="C16" s="12" t="e">
        <f>SUMIFS(#REF!,#REF!,$A$16,#REF!,B16)</f>
        <v>#REF!</v>
      </c>
      <c r="D16" s="949" t="e">
        <f>#REF!</f>
        <v>#REF!</v>
      </c>
      <c r="E16" s="21" t="e">
        <f>C16*$D$16</f>
        <v>#REF!</v>
      </c>
      <c r="F16" s="17" t="e">
        <f>#REF!</f>
        <v>#REF!</v>
      </c>
      <c r="G16" s="10" t="e">
        <f t="shared" si="1"/>
        <v>#REF!</v>
      </c>
      <c r="H16" s="935" t="e">
        <f>SUM(G16:G22)</f>
        <v>#REF!</v>
      </c>
    </row>
    <row r="17" spans="1:8">
      <c r="A17" s="941"/>
      <c r="B17" s="3" t="s">
        <v>7</v>
      </c>
      <c r="C17" s="12" t="e">
        <f>SUMIFS(#REF!,#REF!,$A$16,#REF!,B17)</f>
        <v>#REF!</v>
      </c>
      <c r="D17" s="947"/>
      <c r="E17" s="21" t="e">
        <f t="shared" ref="E17:E22" si="3">C17*$D$16</f>
        <v>#REF!</v>
      </c>
      <c r="F17" s="18" t="e">
        <f>#REF!</f>
        <v>#REF!</v>
      </c>
      <c r="G17" s="10" t="e">
        <f t="shared" si="1"/>
        <v>#REF!</v>
      </c>
      <c r="H17" s="935"/>
    </row>
    <row r="18" spans="1:8">
      <c r="A18" s="941"/>
      <c r="B18" s="3" t="s">
        <v>8</v>
      </c>
      <c r="C18" s="12" t="e">
        <f>SUMIFS(#REF!,#REF!,$A$16,#REF!,B18)</f>
        <v>#REF!</v>
      </c>
      <c r="D18" s="947"/>
      <c r="E18" s="21" t="e">
        <f t="shared" si="3"/>
        <v>#REF!</v>
      </c>
      <c r="F18" s="18" t="e">
        <f>#REF!</f>
        <v>#REF!</v>
      </c>
      <c r="G18" s="10" t="e">
        <f t="shared" si="1"/>
        <v>#REF!</v>
      </c>
      <c r="H18" s="935"/>
    </row>
    <row r="19" spans="1:8">
      <c r="A19" s="941"/>
      <c r="B19" s="3" t="s">
        <v>9</v>
      </c>
      <c r="C19" s="12" t="e">
        <f>SUMIFS(#REF!,#REF!,$A$16,#REF!,B19)</f>
        <v>#REF!</v>
      </c>
      <c r="D19" s="947"/>
      <c r="E19" s="21" t="e">
        <f t="shared" si="3"/>
        <v>#REF!</v>
      </c>
      <c r="F19" s="18" t="e">
        <f>#REF!</f>
        <v>#REF!</v>
      </c>
      <c r="G19" s="10" t="e">
        <f t="shared" si="1"/>
        <v>#REF!</v>
      </c>
      <c r="H19" s="935"/>
    </row>
    <row r="20" spans="1:8">
      <c r="A20" s="941"/>
      <c r="B20" s="3" t="s">
        <v>11</v>
      </c>
      <c r="C20" s="12" t="e">
        <f>SUMIFS(#REF!,#REF!,$A$16,#REF!,B20)</f>
        <v>#REF!</v>
      </c>
      <c r="D20" s="947"/>
      <c r="E20" s="21" t="e">
        <f t="shared" si="3"/>
        <v>#REF!</v>
      </c>
      <c r="F20" s="18" t="e">
        <f>#REF!</f>
        <v>#REF!</v>
      </c>
      <c r="G20" s="10" t="e">
        <f t="shared" si="1"/>
        <v>#REF!</v>
      </c>
      <c r="H20" s="935"/>
    </row>
    <row r="21" spans="1:8">
      <c r="A21" s="941"/>
      <c r="B21" s="3" t="s">
        <v>10</v>
      </c>
      <c r="C21" s="12" t="e">
        <f>SUMIFS(#REF!,#REF!,$A$16,#REF!,B21)</f>
        <v>#REF!</v>
      </c>
      <c r="D21" s="947"/>
      <c r="E21" s="21" t="e">
        <f t="shared" si="3"/>
        <v>#REF!</v>
      </c>
      <c r="F21" s="18" t="e">
        <f>#REF!</f>
        <v>#REF!</v>
      </c>
      <c r="G21" s="10" t="e">
        <f t="shared" si="1"/>
        <v>#REF!</v>
      </c>
      <c r="H21" s="935"/>
    </row>
    <row r="22" spans="1:8">
      <c r="A22" s="942"/>
      <c r="B22" s="3" t="s">
        <v>13</v>
      </c>
      <c r="C22" s="12" t="e">
        <f>SUMIFS(#REF!,#REF!,$A$16,#REF!,B22)</f>
        <v>#REF!</v>
      </c>
      <c r="D22" s="948"/>
      <c r="E22" s="21" t="e">
        <f t="shared" si="3"/>
        <v>#REF!</v>
      </c>
      <c r="F22" s="18" t="e">
        <f>#REF!</f>
        <v>#REF!</v>
      </c>
      <c r="G22" s="10" t="e">
        <f t="shared" si="1"/>
        <v>#REF!</v>
      </c>
      <c r="H22" s="935"/>
    </row>
    <row r="23" spans="1:8">
      <c r="A23" s="943" t="s">
        <v>0</v>
      </c>
      <c r="B23" s="3" t="s">
        <v>6</v>
      </c>
      <c r="C23" s="12" t="e">
        <f>SUMIFS(#REF!,#REF!,$A$23,#REF!,B23)</f>
        <v>#REF!</v>
      </c>
      <c r="D23" s="949" t="e">
        <f>#REF!</f>
        <v>#REF!</v>
      </c>
      <c r="E23" s="21" t="e">
        <f>C23*$D$23</f>
        <v>#REF!</v>
      </c>
      <c r="F23" s="17" t="e">
        <f>#REF!</f>
        <v>#REF!</v>
      </c>
      <c r="G23" s="10" t="e">
        <f t="shared" si="1"/>
        <v>#REF!</v>
      </c>
      <c r="H23" s="935" t="e">
        <f>SUM(G23:G29)</f>
        <v>#REF!</v>
      </c>
    </row>
    <row r="24" spans="1:8">
      <c r="A24" s="941"/>
      <c r="B24" s="3" t="s">
        <v>7</v>
      </c>
      <c r="C24" s="12" t="e">
        <f>SUMIFS(#REF!,#REF!,$A$23,#REF!,B24)</f>
        <v>#REF!</v>
      </c>
      <c r="D24" s="947"/>
      <c r="E24" s="21" t="e">
        <f t="shared" ref="E24:E29" si="4">C24*$D$23</f>
        <v>#REF!</v>
      </c>
      <c r="F24" s="18" t="e">
        <f>#REF!</f>
        <v>#REF!</v>
      </c>
      <c r="G24" s="10" t="e">
        <f t="shared" si="1"/>
        <v>#REF!</v>
      </c>
      <c r="H24" s="935"/>
    </row>
    <row r="25" spans="1:8">
      <c r="A25" s="941"/>
      <c r="B25" s="3" t="s">
        <v>8</v>
      </c>
      <c r="C25" s="12" t="e">
        <f>SUMIFS(#REF!,#REF!,$A$23,#REF!,B25)</f>
        <v>#REF!</v>
      </c>
      <c r="D25" s="947"/>
      <c r="E25" s="21" t="e">
        <f t="shared" si="4"/>
        <v>#REF!</v>
      </c>
      <c r="F25" s="18" t="e">
        <f>#REF!</f>
        <v>#REF!</v>
      </c>
      <c r="G25" s="10" t="e">
        <f t="shared" si="1"/>
        <v>#REF!</v>
      </c>
      <c r="H25" s="935"/>
    </row>
    <row r="26" spans="1:8">
      <c r="A26" s="941"/>
      <c r="B26" s="3" t="s">
        <v>9</v>
      </c>
      <c r="C26" s="12" t="e">
        <f>SUMIFS(#REF!,#REF!,$A$23,#REF!,B26)</f>
        <v>#REF!</v>
      </c>
      <c r="D26" s="947"/>
      <c r="E26" s="21" t="e">
        <f t="shared" si="4"/>
        <v>#REF!</v>
      </c>
      <c r="F26" s="18" t="e">
        <f>#REF!</f>
        <v>#REF!</v>
      </c>
      <c r="G26" s="10" t="e">
        <f t="shared" si="1"/>
        <v>#REF!</v>
      </c>
      <c r="H26" s="935"/>
    </row>
    <row r="27" spans="1:8">
      <c r="A27" s="941"/>
      <c r="B27" s="3" t="s">
        <v>11</v>
      </c>
      <c r="C27" s="12" t="e">
        <f>SUMIFS(#REF!,#REF!,$A$23,#REF!,B27)</f>
        <v>#REF!</v>
      </c>
      <c r="D27" s="947"/>
      <c r="E27" s="21" t="e">
        <f t="shared" si="4"/>
        <v>#REF!</v>
      </c>
      <c r="F27" s="19" t="e">
        <f>#REF!</f>
        <v>#REF!</v>
      </c>
      <c r="G27" s="10" t="e">
        <f t="shared" si="1"/>
        <v>#REF!</v>
      </c>
      <c r="H27" s="936"/>
    </row>
    <row r="28" spans="1:8">
      <c r="A28" s="941"/>
      <c r="B28" s="3" t="s">
        <v>10</v>
      </c>
      <c r="C28" s="12" t="e">
        <f>SUMIFS(#REF!,#REF!,$A$23,#REF!,B28)</f>
        <v>#REF!</v>
      </c>
      <c r="D28" s="947"/>
      <c r="E28" s="21" t="e">
        <f t="shared" si="4"/>
        <v>#REF!</v>
      </c>
      <c r="F28" s="19" t="e">
        <f>#REF!</f>
        <v>#REF!</v>
      </c>
      <c r="G28" s="10" t="e">
        <f t="shared" si="1"/>
        <v>#REF!</v>
      </c>
      <c r="H28" s="936"/>
    </row>
    <row r="29" spans="1:8" ht="14.4" thickBot="1">
      <c r="A29" s="944"/>
      <c r="B29" s="4" t="s">
        <v>13</v>
      </c>
      <c r="C29" s="24" t="e">
        <f>SUMIFS(#REF!,#REF!,$A$23,#REF!,B29)</f>
        <v>#REF!</v>
      </c>
      <c r="D29" s="950"/>
      <c r="E29" s="22" t="e">
        <f t="shared" si="4"/>
        <v>#REF!</v>
      </c>
      <c r="F29" s="2" t="e">
        <f>#REF!</f>
        <v>#REF!</v>
      </c>
      <c r="G29" s="11" t="e">
        <f t="shared" si="1"/>
        <v>#REF!</v>
      </c>
      <c r="H29" s="937"/>
    </row>
    <row r="30" spans="1:8" ht="14.4" thickTop="1"/>
    <row r="38" spans="1:4">
      <c r="A38" s="8"/>
      <c r="B38" s="9"/>
      <c r="C38"/>
      <c r="D38" s="945"/>
    </row>
    <row r="39" spans="1:4">
      <c r="A39" s="8"/>
      <c r="B39" s="9"/>
      <c r="C39"/>
      <c r="D39" s="945"/>
    </row>
    <row r="40" spans="1:4">
      <c r="A40" s="8"/>
      <c r="B40" s="9"/>
      <c r="C40"/>
      <c r="D40" s="945"/>
    </row>
  </sheetData>
  <mergeCells count="14">
    <mergeCell ref="A2:A8"/>
    <mergeCell ref="A9:A15"/>
    <mergeCell ref="A16:A22"/>
    <mergeCell ref="A23:A29"/>
    <mergeCell ref="D38:D40"/>
    <mergeCell ref="D2:D8"/>
    <mergeCell ref="D9:D15"/>
    <mergeCell ref="D16:D22"/>
    <mergeCell ref="D23:D29"/>
    <mergeCell ref="H2:H8"/>
    <mergeCell ref="H9:H15"/>
    <mergeCell ref="H16:H22"/>
    <mergeCell ref="H23:H29"/>
    <mergeCell ref="G1:H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800"/>
  </sheetPr>
  <dimension ref="A1:AK33"/>
  <sheetViews>
    <sheetView view="pageBreakPreview" topLeftCell="K1" zoomScale="85" zoomScaleNormal="85" zoomScaleSheetLayoutView="85" workbookViewId="0">
      <pane ySplit="5" topLeftCell="A6" activePane="bottomLeft" state="frozen"/>
      <selection activeCell="K1" sqref="K1"/>
      <selection pane="bottomLeft" activeCell="AF11" sqref="AF11"/>
    </sheetView>
  </sheetViews>
  <sheetFormatPr defaultColWidth="9" defaultRowHeight="13.8"/>
  <cols>
    <col min="1" max="1" width="5.3984375" style="38" hidden="1" customWidth="1"/>
    <col min="2" max="2" width="13.19921875" style="25" hidden="1" customWidth="1"/>
    <col min="3" max="3" width="19.8984375" style="25" hidden="1" customWidth="1"/>
    <col min="4" max="4" width="4.8984375" hidden="1" customWidth="1"/>
    <col min="5" max="5" width="8.3984375" style="25" hidden="1" customWidth="1"/>
    <col min="6" max="6" width="7.19921875" style="25" hidden="1" customWidth="1"/>
    <col min="7" max="8" width="9.19921875" style="25" hidden="1" customWidth="1"/>
    <col min="9" max="9" width="11.8984375" style="25" hidden="1" customWidth="1"/>
    <col min="10" max="10" width="10.09765625" style="25" hidden="1" customWidth="1"/>
    <col min="11" max="11" width="16.3984375" style="25" customWidth="1"/>
    <col min="12" max="13" width="9.09765625" style="25" hidden="1" customWidth="1"/>
    <col min="14" max="14" width="8.3984375" style="25" hidden="1" customWidth="1"/>
    <col min="15" max="15" width="10" style="25" hidden="1" customWidth="1"/>
    <col min="16" max="16" width="11.8984375" style="25" bestFit="1" customWidth="1"/>
    <col min="17" max="17" width="15.5" style="25" customWidth="1"/>
    <col min="18" max="19" width="6.59765625" style="29" hidden="1" customWidth="1"/>
    <col min="20" max="20" width="9.59765625" style="29" hidden="1" customWidth="1"/>
    <col min="21" max="21" width="5.59765625" style="29" hidden="1" customWidth="1"/>
    <col min="22" max="22" width="6.59765625" style="29" hidden="1" customWidth="1"/>
    <col min="23" max="23" width="5.59765625" style="29" hidden="1" customWidth="1"/>
    <col min="24" max="24" width="6.59765625" style="25" hidden="1" customWidth="1"/>
    <col min="25" max="26" width="6.59765625" style="25" bestFit="1" customWidth="1"/>
    <col min="27" max="27" width="10" style="25" customWidth="1"/>
    <col min="28" max="28" width="6.59765625" style="25" bestFit="1" customWidth="1"/>
    <col min="29" max="29" width="7.59765625" style="25" bestFit="1" customWidth="1"/>
    <col min="30" max="30" width="6.59765625" style="25" bestFit="1" customWidth="1"/>
    <col min="31" max="31" width="7.59765625" style="25" bestFit="1" customWidth="1"/>
    <col min="32" max="32" width="9" style="25"/>
    <col min="33" max="33" width="17.5" style="25" customWidth="1"/>
    <col min="34" max="34" width="14.5" style="25" customWidth="1"/>
    <col min="35" max="36" width="9" style="25"/>
    <col min="37" max="37" width="22.5" style="25" bestFit="1" customWidth="1"/>
    <col min="38" max="16384" width="9" style="25"/>
  </cols>
  <sheetData>
    <row r="1" spans="1:35">
      <c r="K1" s="1063" t="s">
        <v>540</v>
      </c>
      <c r="L1" s="1063"/>
      <c r="M1" s="1063"/>
      <c r="N1" s="1063"/>
      <c r="O1" s="1063"/>
      <c r="P1" s="1063"/>
      <c r="Q1" s="1063"/>
      <c r="R1" s="1063"/>
      <c r="S1" s="1063"/>
      <c r="T1" s="1063"/>
      <c r="U1" s="1063"/>
      <c r="V1" s="1063"/>
      <c r="W1" s="1063"/>
      <c r="X1" s="1063"/>
      <c r="Y1" s="1063"/>
      <c r="Z1" s="1063"/>
      <c r="AA1" s="1063"/>
      <c r="AB1" s="1063"/>
      <c r="AC1" s="1063"/>
      <c r="AD1" s="1063"/>
      <c r="AE1" s="1063"/>
    </row>
    <row r="2" spans="1:35" ht="14.4" thickBot="1">
      <c r="K2" s="1026" t="s">
        <v>188</v>
      </c>
      <c r="L2" s="1026"/>
      <c r="M2" s="1026"/>
      <c r="N2" s="1026"/>
      <c r="O2" s="1026"/>
      <c r="P2" s="1026"/>
      <c r="Q2" s="1026"/>
      <c r="R2" s="111"/>
      <c r="S2" s="111"/>
      <c r="T2" s="111"/>
      <c r="U2" s="111"/>
      <c r="V2" s="111"/>
      <c r="W2" s="111"/>
      <c r="X2" s="111"/>
      <c r="Y2" s="1016" t="s">
        <v>187</v>
      </c>
      <c r="Z2" s="1016"/>
      <c r="AA2" s="1016"/>
      <c r="AB2" s="1016"/>
      <c r="AC2" s="1016"/>
      <c r="AD2" s="1016"/>
      <c r="AE2" s="1016"/>
    </row>
    <row r="3" spans="1:35" s="32" customFormat="1" ht="46.5" customHeight="1" thickTop="1">
      <c r="A3" s="1040" t="s">
        <v>4</v>
      </c>
      <c r="B3" s="1042" t="s">
        <v>20</v>
      </c>
      <c r="C3" s="1042" t="s">
        <v>101</v>
      </c>
      <c r="D3" s="1023" t="s">
        <v>102</v>
      </c>
      <c r="E3" s="1023" t="s">
        <v>24</v>
      </c>
      <c r="F3" s="1023" t="s">
        <v>105</v>
      </c>
      <c r="G3" s="1044" t="s">
        <v>5</v>
      </c>
      <c r="H3" s="1045"/>
      <c r="I3" s="1023" t="s">
        <v>34</v>
      </c>
      <c r="J3" s="1023" t="s">
        <v>77</v>
      </c>
      <c r="K3" s="1017" t="s">
        <v>194</v>
      </c>
      <c r="L3" s="1018" t="s">
        <v>78</v>
      </c>
      <c r="M3" s="1024" t="s">
        <v>118</v>
      </c>
      <c r="N3" s="1017" t="s">
        <v>47</v>
      </c>
      <c r="O3" s="1017" t="s">
        <v>96</v>
      </c>
      <c r="P3" s="1017" t="s">
        <v>566</v>
      </c>
      <c r="Q3" s="1018" t="s">
        <v>374</v>
      </c>
      <c r="R3" s="1016" t="s">
        <v>417</v>
      </c>
      <c r="S3" s="1016"/>
      <c r="T3" s="1016"/>
      <c r="U3" s="1016"/>
      <c r="V3" s="1016"/>
      <c r="W3" s="1016"/>
      <c r="X3" s="1016"/>
      <c r="Y3" s="1016"/>
      <c r="Z3" s="1016"/>
      <c r="AA3" s="1016"/>
      <c r="AB3" s="1016"/>
      <c r="AC3" s="1016"/>
      <c r="AD3" s="1016"/>
      <c r="AE3" s="1016"/>
      <c r="AG3" s="1031" t="s">
        <v>550</v>
      </c>
      <c r="AH3" s="1032"/>
      <c r="AI3" s="1033"/>
    </row>
    <row r="4" spans="1:35" s="32" customFormat="1" ht="13.2">
      <c r="A4" s="1041"/>
      <c r="B4" s="1043"/>
      <c r="C4" s="1043"/>
      <c r="D4" s="1019"/>
      <c r="E4" s="1019"/>
      <c r="F4" s="1019"/>
      <c r="G4" s="49" t="s">
        <v>46</v>
      </c>
      <c r="H4" s="49"/>
      <c r="I4" s="1019"/>
      <c r="J4" s="1019"/>
      <c r="K4" s="1017"/>
      <c r="L4" s="1019"/>
      <c r="M4" s="1025"/>
      <c r="N4" s="1017"/>
      <c r="O4" s="1017"/>
      <c r="P4" s="1017"/>
      <c r="Q4" s="1019"/>
      <c r="R4" s="33" t="s">
        <v>66</v>
      </c>
      <c r="S4" s="33" t="s">
        <v>67</v>
      </c>
      <c r="T4" s="33" t="s">
        <v>68</v>
      </c>
      <c r="U4" s="33" t="s">
        <v>69</v>
      </c>
      <c r="V4" s="33" t="s">
        <v>70</v>
      </c>
      <c r="W4" s="33" t="s">
        <v>71</v>
      </c>
      <c r="X4" s="34" t="s">
        <v>72</v>
      </c>
      <c r="Y4" s="112" t="s">
        <v>66</v>
      </c>
      <c r="Z4" s="112" t="s">
        <v>67</v>
      </c>
      <c r="AA4" s="112" t="s">
        <v>570</v>
      </c>
      <c r="AB4" s="112" t="s">
        <v>571</v>
      </c>
      <c r="AC4" s="112" t="s">
        <v>70</v>
      </c>
      <c r="AD4" s="113" t="s">
        <v>71</v>
      </c>
      <c r="AE4" s="112" t="s">
        <v>72</v>
      </c>
      <c r="AG4" s="301" t="s">
        <v>194</v>
      </c>
      <c r="AH4" s="301" t="s">
        <v>375</v>
      </c>
      <c r="AI4" s="301" t="s">
        <v>193</v>
      </c>
    </row>
    <row r="5" spans="1:35" s="32" customFormat="1">
      <c r="A5" s="37">
        <v>1</v>
      </c>
      <c r="B5" s="35">
        <v>2</v>
      </c>
      <c r="C5" s="35">
        <v>3</v>
      </c>
      <c r="D5"/>
      <c r="E5" s="35">
        <v>4</v>
      </c>
      <c r="F5" s="35">
        <v>4</v>
      </c>
      <c r="G5" s="1034">
        <v>7</v>
      </c>
      <c r="H5" s="1035"/>
      <c r="I5" s="35">
        <v>5</v>
      </c>
      <c r="J5" s="35">
        <v>6</v>
      </c>
      <c r="K5" s="36">
        <v>1</v>
      </c>
      <c r="L5" s="36">
        <v>11</v>
      </c>
      <c r="M5" s="43">
        <v>11</v>
      </c>
      <c r="N5" s="36">
        <v>12</v>
      </c>
      <c r="O5" s="36">
        <v>13</v>
      </c>
      <c r="P5" s="36">
        <v>2</v>
      </c>
      <c r="Q5" s="36">
        <v>3</v>
      </c>
      <c r="R5" s="1112" t="s">
        <v>518</v>
      </c>
      <c r="S5" s="1113"/>
      <c r="T5" s="1113"/>
      <c r="U5" s="1113"/>
      <c r="V5" s="1113"/>
      <c r="W5" s="1113"/>
      <c r="X5" s="1114"/>
      <c r="Y5" s="36">
        <f t="shared" ref="Y5" si="0">Q5+1</f>
        <v>4</v>
      </c>
      <c r="Z5" s="36">
        <f>Y5+1</f>
        <v>5</v>
      </c>
      <c r="AA5" s="36">
        <f t="shared" ref="AA5:AE5" si="1">Z5+1</f>
        <v>6</v>
      </c>
      <c r="AB5" s="36">
        <f t="shared" si="1"/>
        <v>7</v>
      </c>
      <c r="AC5" s="36">
        <f t="shared" si="1"/>
        <v>8</v>
      </c>
      <c r="AD5" s="36">
        <f t="shared" si="1"/>
        <v>9</v>
      </c>
      <c r="AE5" s="36">
        <f t="shared" si="1"/>
        <v>10</v>
      </c>
      <c r="AG5" s="813" t="s">
        <v>8</v>
      </c>
      <c r="AH5" s="372">
        <f>'Mieszkalne - baza'!D235</f>
        <v>62314.189263906759</v>
      </c>
      <c r="AI5" s="489">
        <f>100%-AI6-AI7-AI8-AI9-AI10-AI11-AI12</f>
        <v>0.7674448410170247</v>
      </c>
    </row>
    <row r="6" spans="1:35">
      <c r="A6" s="1036">
        <v>1</v>
      </c>
      <c r="B6" s="27" t="s">
        <v>21</v>
      </c>
      <c r="C6" s="28" t="s">
        <v>106</v>
      </c>
      <c r="D6" s="39">
        <v>90</v>
      </c>
      <c r="E6" s="28">
        <v>1955</v>
      </c>
      <c r="F6" s="26">
        <v>80</v>
      </c>
      <c r="G6" s="26">
        <v>3</v>
      </c>
      <c r="H6" s="26"/>
      <c r="I6" s="26">
        <f>IF(E6&lt;=1966,'Założenia,wskaźniki, listy'!$H$4,IF(E6&gt;1966,IF(E6&lt;=1985,'Założenia,wskaźniki, listy'!$H$5,IF(E6&gt;1985,IF(E6&lt;=1992,'Założenia,wskaźniki, listy'!$H$6,IF(E6&gt;1992,IF(E6&lt;=1996,'Założenia,wskaźniki, listy'!$H$7,IF(E6&gt;1996,IF(E6&lt;=2013,'Założenia,wskaźniki, listy'!$H$8)))))))))</f>
        <v>290</v>
      </c>
      <c r="J6" s="28" t="s">
        <v>33</v>
      </c>
      <c r="K6" s="28" t="s">
        <v>8</v>
      </c>
      <c r="L6" s="26"/>
      <c r="M6" s="45"/>
      <c r="N6" s="30"/>
      <c r="O6" s="30"/>
      <c r="P6" s="62">
        <f t="shared" ref="P6:P12" si="2">AH5</f>
        <v>62314.189263906759</v>
      </c>
      <c r="Q6" s="1060">
        <f>1585*'Mieszkalne - baza'!S206</f>
        <v>2957.1535200000003</v>
      </c>
      <c r="R6" s="346">
        <f>IF(K6="węgiel",P6*'Założenia,wskaźniki, listy'!$C$44,IF(K6="gaz",P6*'Założenia,wskaźniki, listy'!$D$44,IF(K6="drewno",P6*'Założenia,wskaźniki, listy'!$E$44,IF(K6="pelet",P6*'Założenia,wskaźniki, listy'!$F$44,IF(K6="olej opałowy",P6*'Założenia,wskaźniki, listy'!$G$44,IF(K6="sieć ciepłownicza",0,IF(K6="prąd",0,0)))))))</f>
        <v>14.02069258437902</v>
      </c>
      <c r="S6" s="346">
        <f>IF(K6="węgiel",P6*'Założenia,wskaźniki, listy'!$C$45,IF(K6="gaz",P6*'Założenia,wskaźniki, listy'!$D$45,IF(K6="drewno",P6*'Założenia,wskaźniki, listy'!$E$45,IF(K6="pelet",P6*'Założenia,wskaźniki, listy'!$F$45,IF(K6="olej opałowy",P6*'Założenia,wskaźniki, listy'!$G$45,IF(K6="sieć ciepłownicza",0,IF(K6="prąd",0,0)))))))</f>
        <v>12.525152042045258</v>
      </c>
      <c r="T6" s="346">
        <f>IF(K6="węgiel",P6*'Założenia,wskaźniki, listy'!$C$46,IF(K6="gaz",P6*'Założenia,wskaźniki, listy'!$D$46,IF(K6="drewno",P6*'Założenia,wskaźniki, listy'!$E$46,IF(K6="pelet",P6*'Założenia,wskaźniki, listy'!$F$46,IF(K6="olej opałowy",P6*'Założenia,wskaźniki, listy'!$G$46,IF(K6="sieć ciepłownicza",P6*'Założenia,wskaźniki, listy'!$H$46,IF(K6="prąd",0,0)))))))</f>
        <v>5841.3321015986194</v>
      </c>
      <c r="U6" s="346">
        <f>IF(K6="węgiel",P6*'Założenia,wskaźniki, listy'!$C$47,IF(K6="gaz",P6*'Założenia,wskaźniki, listy'!$D$47,IF(K6="drewno",P6*'Założenia,wskaźniki, listy'!$E$47,IF(K6="pelet",P6*'Założenia,wskaźniki, listy'!$F$47,IF(K6="olej opałowy",P6*'Założenia,wskaźniki, listy'!$G$47,IF(K6="sieć ciepłownicza",0,IF(K6="prąd",0,0)))))))</f>
        <v>1.6824831101254826E-2</v>
      </c>
      <c r="V6" s="346">
        <f>IF(K6="węgiel",P6*'Założenia,wskaźniki, listy'!$C$48, IF(K6="gaz",P6*'Założenia,wskaźniki, listy'!$D$48,IF(K6="drewno",P6*'Założenia,wskaźniki, listy'!$E$48,IF(K6="pelet",P6*'Założenia,wskaźniki, listy'!$F$48,IF(K6="olej opałowy",P6*'Założenia,wskaźniki, listy'!$G$48,IF(K6="sieć ciepłownicza",0,IF(K6="prąd",0,0)))))))</f>
        <v>56.082770337516081</v>
      </c>
      <c r="W6" s="346">
        <f>IF(K6="węgiel",P6*'Założenia,wskaźniki, listy'!$C$49, IF(K6="gaz",P6*'Założenia,wskaźniki, listy'!$D$49, IF(K6="drewno",P6*'Założenia,wskaźniki, listy'!$E$49,IF(K6="pelet",P6*'Założenia,wskaźniki, listy'!$F$49,IF(K6="olej opałowy",P6*'Założenia,wskaźniki, listy'!$G$49,IF(K6="sieć ciepłownicza",0,IF(K6="prąd",0,0)))))))</f>
        <v>9.8456419036972669</v>
      </c>
      <c r="X6" s="346">
        <f>IF(K6="węgiel",P6*'Założenia,wskaźniki, listy'!$C$50,IF(K6="gaz",P6*'Założenia,wskaźniki, listy'!$D$50, IF(K6="drewno",P6*'Założenia,wskaźniki, listy'!$E$50,IF(K6="pelet",P6*'Założenia,wskaźniki, listy'!$F$50,IF(K6="pelet",P6*'Założenia,wskaźniki, listy'!$F$50,IF(K6="olej opałowy",P6*'Założenia,wskaźniki, listy'!$G$50,IF(K6="sieć ciepłownicza",0,IF(K6="prąd",0,0))))))))</f>
        <v>125.35263821527957</v>
      </c>
      <c r="Y6" s="116">
        <f>R6</f>
        <v>14.02069258437902</v>
      </c>
      <c r="Z6" s="116">
        <f>S6</f>
        <v>12.525152042045258</v>
      </c>
      <c r="AA6" s="116">
        <f>T6</f>
        <v>5841.3321015986194</v>
      </c>
      <c r="AB6" s="116">
        <f>U6</f>
        <v>1.6824831101254826E-2</v>
      </c>
      <c r="AC6" s="116">
        <f t="shared" ref="AC6:AE12" si="3">V6</f>
        <v>56.082770337516081</v>
      </c>
      <c r="AD6" s="116">
        <f t="shared" si="3"/>
        <v>9.8456419036972669</v>
      </c>
      <c r="AE6" s="116">
        <f t="shared" si="3"/>
        <v>125.35263821527957</v>
      </c>
      <c r="AG6" s="813" t="s">
        <v>26</v>
      </c>
      <c r="AH6" s="372">
        <f>'Mieszkalne - baza'!D236</f>
        <v>0</v>
      </c>
      <c r="AI6" s="489">
        <f>AH6/$AH$13</f>
        <v>0</v>
      </c>
    </row>
    <row r="7" spans="1:35" ht="15" customHeight="1">
      <c r="A7" s="1037"/>
      <c r="B7" s="27"/>
      <c r="C7" s="28"/>
      <c r="E7" s="28"/>
      <c r="F7" s="26"/>
      <c r="G7" s="26"/>
      <c r="H7" s="26"/>
      <c r="I7" s="26">
        <f>IF(E7&lt;=1966,'Założenia,wskaźniki, listy'!$H$4,IF(E7&gt;1966,IF(E7&lt;=1985,'Założenia,wskaźniki, listy'!$H$5,IF(E7&gt;1985,IF(E7&lt;=1992,'Założenia,wskaźniki, listy'!$H$6,IF(E7&gt;1992,IF(E7&lt;=1996,'Założenia,wskaźniki, listy'!$H$7,IF(E7&gt;1996,IF(E7&lt;=2013,'Założenia,wskaźniki, listy'!$H$8)))))))))</f>
        <v>290</v>
      </c>
      <c r="J7" s="28"/>
      <c r="K7" s="28" t="s">
        <v>26</v>
      </c>
      <c r="L7" s="26"/>
      <c r="M7" s="45"/>
      <c r="N7" s="30"/>
      <c r="O7" s="30"/>
      <c r="P7" s="62">
        <f t="shared" si="2"/>
        <v>0</v>
      </c>
      <c r="Q7" s="1061"/>
      <c r="R7" s="346">
        <f>IF(K7="węgiel",P7*'Założenia,wskaźniki, listy'!$C$44,IF(K7="gaz",P7*'Założenia,wskaźniki, listy'!$D$44,IF(K7="drewno",P7*'Założenia,wskaźniki, listy'!$E$44,IF(K7="pelet",P7*'Założenia,wskaźniki, listy'!$F$44,IF(K7="olej opałowy",P7*'Założenia,wskaźniki, listy'!$G$44,IF(K7="sieć ciepłownicza",0,IF(K7="prąd",0,0)))))))</f>
        <v>0</v>
      </c>
      <c r="S7" s="346">
        <f>IF(K7="węgiel",P7*'Założenia,wskaźniki, listy'!$C$45,IF(K7="gaz",P7*'Założenia,wskaźniki, listy'!$D$45,IF(K7="drewno",P7*'Założenia,wskaźniki, listy'!$E$45,IF(K7="pelet",P7*'Założenia,wskaźniki, listy'!$F$45,IF(K7="olej opałowy",P7*'Założenia,wskaźniki, listy'!$G$45,IF(K7="sieć ciepłownicza",0,IF(K7="prąd",0,0)))))))</f>
        <v>0</v>
      </c>
      <c r="T7" s="346">
        <f>IF(K7="węgiel",P7*'Założenia,wskaźniki, listy'!$C$46,IF(K7="gaz",P7*'Założenia,wskaźniki, listy'!$D$46,IF(K7="drewno",P7*'Założenia,wskaźniki, listy'!$E$46,IF(K7="pelet",P7*'Założenia,wskaźniki, listy'!$F$46,IF(K7="olej opałowy",P7*'Założenia,wskaźniki, listy'!$G$46,IF(K7="sieć ciepłownicza",P7*'Założenia,wskaźniki, listy'!$H$46,IF(K7="prąd",0,0)))))))</f>
        <v>0</v>
      </c>
      <c r="U7" s="346">
        <f>IF(K7="węgiel",P7*'Założenia,wskaźniki, listy'!$C$47,IF(K7="gaz",P7*'Założenia,wskaźniki, listy'!$D$47,IF(K7="drewno",P7*'Założenia,wskaźniki, listy'!$E$47,IF(K7="pelet",P7*'Założenia,wskaźniki, listy'!$F$47,IF(K7="olej opałowy",P7*'Założenia,wskaźniki, listy'!$G$47,IF(K7="sieć ciepłownicza",0,IF(K7="prąd",0,0)))))))</f>
        <v>0</v>
      </c>
      <c r="V7" s="346">
        <f>IF(K7="węgiel",P7*'Założenia,wskaźniki, listy'!$C$48, IF(K7="gaz",P7*'Założenia,wskaźniki, listy'!$D$48,IF(K7="drewno",P7*'Założenia,wskaźniki, listy'!$E$48,IF(K7="pelet",P7*'Założenia,wskaźniki, listy'!$F$48,IF(K7="olej opałowy",P7*'Założenia,wskaźniki, listy'!$G$48,IF(K7="sieć ciepłownicza",0,IF(K7="prąd",0,0)))))))</f>
        <v>0</v>
      </c>
      <c r="W7" s="346">
        <f>IF(K7="węgiel",P7*'Założenia,wskaźniki, listy'!$C$49, IF(K7="gaz",P7*'Założenia,wskaźniki, listy'!$D$49, IF(K7="drewno",P7*'Założenia,wskaźniki, listy'!$E$49,IF(K7="pelet",P7*'Założenia,wskaźniki, listy'!$F$49,IF(K7="olej opałowy",P7*'Założenia,wskaźniki, listy'!$G$49,IF(K7="sieć ciepłownicza",0,IF(K7="prąd",0,0)))))))</f>
        <v>0</v>
      </c>
      <c r="X7" s="346">
        <f>IF(K7="węgiel",P7*'Założenia,wskaźniki, listy'!$C$50,IF(K7="gaz",P7*'Założenia,wskaźniki, listy'!$D$50, IF(K7="drewno",P7*'Założenia,wskaźniki, listy'!$E$50,IF(K7="pelet",P7*'Założenia,wskaźniki, listy'!$F$50,IF(K7="pelet",P7*'Założenia,wskaźniki, listy'!$F$50,IF(K7="olej opałowy",P7*'Założenia,wskaźniki, listy'!$G$50,IF(K7="sieć ciepłownicza",0,IF(K7="prąd",0,0))))))))</f>
        <v>0</v>
      </c>
      <c r="Y7" s="116">
        <f t="shared" ref="Y7:Z12" si="4">R7</f>
        <v>0</v>
      </c>
      <c r="Z7" s="116">
        <f t="shared" si="4"/>
        <v>0</v>
      </c>
      <c r="AA7" s="116">
        <f>T7+Q7*'Założenia,wskaźniki, listy'!$J$46</f>
        <v>0</v>
      </c>
      <c r="AB7" s="116">
        <f t="shared" ref="AB7:AB12" si="5">U7</f>
        <v>0</v>
      </c>
      <c r="AC7" s="116">
        <f t="shared" si="3"/>
        <v>0</v>
      </c>
      <c r="AD7" s="116">
        <f t="shared" si="3"/>
        <v>0</v>
      </c>
      <c r="AE7" s="116">
        <f t="shared" si="3"/>
        <v>0</v>
      </c>
      <c r="AG7" s="813" t="s">
        <v>79</v>
      </c>
      <c r="AH7" s="372">
        <f>'Mieszkalne - baza'!D237</f>
        <v>18882.772307073956</v>
      </c>
      <c r="AI7" s="489">
        <f t="shared" ref="AI7:AI12" si="6">AH7/$AH$13</f>
        <v>0.2325551589829753</v>
      </c>
    </row>
    <row r="8" spans="1:35">
      <c r="A8" s="1036">
        <v>2</v>
      </c>
      <c r="B8" s="27" t="s">
        <v>21</v>
      </c>
      <c r="C8" s="28" t="s">
        <v>107</v>
      </c>
      <c r="D8">
        <v>94</v>
      </c>
      <c r="E8" s="28">
        <v>1991</v>
      </c>
      <c r="F8" s="26">
        <v>200</v>
      </c>
      <c r="G8" s="26">
        <v>3</v>
      </c>
      <c r="H8" s="26"/>
      <c r="I8" s="26">
        <f>IF(E8&lt;=1966,'Założenia,wskaźniki, listy'!$H$4,IF(E8&gt;1966,IF(E8&lt;=1985,'Założenia,wskaźniki, listy'!$H$5,IF(E8&gt;1985,IF(E8&lt;=1992,'Założenia,wskaźniki, listy'!$H$6,IF(E8&gt;1992,IF(E8&lt;=1996,'Założenia,wskaźniki, listy'!$H$7,IF(E8&gt;1996,IF(E8&lt;=2013,'Założenia,wskaźniki, listy'!$H$8)))))))))</f>
        <v>175</v>
      </c>
      <c r="J8" s="28" t="s">
        <v>32</v>
      </c>
      <c r="K8" s="28" t="s">
        <v>79</v>
      </c>
      <c r="L8" s="26"/>
      <c r="M8" s="45"/>
      <c r="N8" s="30"/>
      <c r="O8" s="30"/>
      <c r="P8" s="62">
        <f t="shared" si="2"/>
        <v>18882.772307073956</v>
      </c>
      <c r="Q8" s="1061"/>
      <c r="R8" s="346">
        <f>IF(K8="węgiel",P8*'Założenia,wskaźniki, listy'!$C$44,IF(K8="gaz",P8*'Założenia,wskaźniki, listy'!$D$44,IF(K8="drewno",P8*'Założenia,wskaźniki, listy'!$E$44,IF(K8="pelet",P8*'Założenia,wskaźniki, listy'!$F$44,IF(K8="olej opałowy",P8*'Założenia,wskaźniki, listy'!$G$44,IF(K8="sieć ciepłownicza",0,IF(K8="prąd",0,0)))))))</f>
        <v>9.0637307073954982</v>
      </c>
      <c r="S8" s="346">
        <f>IF(K8="węgiel",P8*'Założenia,wskaźniki, listy'!$C$45,IF(K8="gaz",P8*'Założenia,wskaźniki, listy'!$D$45,IF(K8="drewno",P8*'Założenia,wskaźniki, listy'!$E$45,IF(K8="pelet",P8*'Założenia,wskaźniki, listy'!$F$45,IF(K8="olej opałowy",P8*'Założenia,wskaźniki, listy'!$G$45,IF(K8="sieć ciepłownicza",0,IF(K8="prąd",0,0)))))))</f>
        <v>8.8749029843247591</v>
      </c>
      <c r="T8" s="346">
        <f>IF(K8="węgiel",P8*'Założenia,wskaźniki, listy'!$C$46,IF(K8="gaz",P8*'Założenia,wskaźniki, listy'!$D$46,IF(K8="drewno",P8*'Założenia,wskaźniki, listy'!$E$46,IF(K8="pelet",P8*'Założenia,wskaźniki, listy'!$F$46,IF(K8="olej opałowy",P8*'Założenia,wskaźniki, listy'!$G$46,IF(K8="sieć ciepłownicza",P8*'Założenia,wskaźniki, listy'!$H$46,IF(K8="prąd",0,0)))))))</f>
        <v>0</v>
      </c>
      <c r="U8" s="346">
        <f>IF(K8="węgiel",P8*'Założenia,wskaźniki, listy'!$C$47,IF(K8="gaz",P8*'Założenia,wskaźniki, listy'!$D$47,IF(K8="drewno",P8*'Założenia,wskaźniki, listy'!$E$47,IF(K8="pelet",P8*'Założenia,wskaźniki, listy'!$F$47,IF(K8="olej opałowy",P8*'Założenia,wskaźniki, listy'!$G$47,IF(K8="sieć ciepłownicza",0,IF(K8="prąd",0,0)))))))</f>
        <v>2.2848154491559489E-3</v>
      </c>
      <c r="V8" s="346">
        <f>IF(K8="węgiel",P8*'Założenia,wskaźniki, listy'!$C$48, IF(K8="gaz",P8*'Założenia,wskaźniki, listy'!$D$48,IF(K8="drewno",P8*'Założenia,wskaźniki, listy'!$E$48,IF(K8="pelet",P8*'Założenia,wskaźniki, listy'!$F$48,IF(K8="olej opałowy",P8*'Założenia,wskaźniki, listy'!$G$48,IF(K8="sieć ciepłownicza",0,IF(K8="prąd",0,0)))))))</f>
        <v>0.2077104953778135</v>
      </c>
      <c r="W8" s="346">
        <f>IF(K8="węgiel",P8*'Założenia,wskaźniki, listy'!$C$49, IF(K8="gaz",P8*'Założenia,wskaźniki, listy'!$D$49, IF(K8="drewno",P8*'Założenia,wskaźniki, listy'!$E$49,IF(K8="pelet",P8*'Założenia,wskaźniki, listy'!$F$49,IF(K8="olej opałowy",P8*'Założenia,wskaźniki, listy'!$G$49,IF(K8="sieć ciepłownicza",0,IF(K8="prąd",0,0)))))))</f>
        <v>1.5106217845659167</v>
      </c>
      <c r="X8" s="346">
        <f>IF(K8="węgiel",P8*'Założenia,wskaźniki, listy'!$C$50,IF(K8="gaz",P8*'Założenia,wskaźniki, listy'!$D$50, IF(K8="drewno",P8*'Założenia,wskaźniki, listy'!$E$50,IF(K8="pelet",P8*'Założenia,wskaźniki, listy'!$F$50,IF(K8="pelet",P8*'Założenia,wskaźniki, listy'!$F$50,IF(K8="olej opałowy",P8*'Założenia,wskaźniki, listy'!$G$50,IF(K8="sieć ciepłownicza",0,IF(K8="prąd",0,0))))))))</f>
        <v>3.3875693518890677</v>
      </c>
      <c r="Y8" s="116">
        <f t="shared" si="4"/>
        <v>9.0637307073954982</v>
      </c>
      <c r="Z8" s="116">
        <f t="shared" si="4"/>
        <v>8.8749029843247591</v>
      </c>
      <c r="AA8" s="116">
        <f>T8+Q8*'Założenia,wskaźniki, listy'!$J$46</f>
        <v>0</v>
      </c>
      <c r="AB8" s="116">
        <f t="shared" si="5"/>
        <v>2.2848154491559489E-3</v>
      </c>
      <c r="AC8" s="116">
        <f t="shared" si="3"/>
        <v>0.2077104953778135</v>
      </c>
      <c r="AD8" s="116">
        <f t="shared" si="3"/>
        <v>1.5106217845659167</v>
      </c>
      <c r="AE8" s="116">
        <f t="shared" si="3"/>
        <v>3.3875693518890677</v>
      </c>
      <c r="AG8" s="813" t="s">
        <v>27</v>
      </c>
      <c r="AH8" s="372">
        <f>'Mieszkalne - baza'!D238</f>
        <v>0</v>
      </c>
      <c r="AI8" s="489">
        <f t="shared" si="6"/>
        <v>0</v>
      </c>
    </row>
    <row r="9" spans="1:35">
      <c r="A9" s="1037"/>
      <c r="B9" s="27"/>
      <c r="C9" s="28"/>
      <c r="E9" s="28"/>
      <c r="F9" s="26"/>
      <c r="G9" s="26"/>
      <c r="H9" s="26"/>
      <c r="I9" s="26">
        <f>IF(E9&lt;=1966,'Założenia,wskaźniki, listy'!$H$4,IF(E9&gt;1966,IF(E9&lt;=1985,'Założenia,wskaźniki, listy'!$H$5,IF(E9&gt;1985,IF(E9&lt;=1992,'Założenia,wskaźniki, listy'!$H$6,IF(E9&gt;1992,IF(E9&lt;=1996,'Założenia,wskaźniki, listy'!$H$7,IF(E9&gt;1996,IF(E9&lt;=2013,'Założenia,wskaźniki, listy'!$H$8)))))))))</f>
        <v>290</v>
      </c>
      <c r="J9" s="28"/>
      <c r="K9" s="28" t="s">
        <v>27</v>
      </c>
      <c r="L9" s="26"/>
      <c r="M9" s="45"/>
      <c r="N9" s="30"/>
      <c r="O9" s="30"/>
      <c r="P9" s="62">
        <f t="shared" si="2"/>
        <v>0</v>
      </c>
      <c r="Q9" s="1061"/>
      <c r="R9" s="346">
        <f>IF(K9="węgiel",P9*'Założenia,wskaźniki, listy'!$C$44,IF(K9="gaz",P9*'Założenia,wskaźniki, listy'!$D$44,IF(K9="drewno",P9*'Założenia,wskaźniki, listy'!$E$44,IF(K9="pelet",P9*'Założenia,wskaźniki, listy'!$F$44,IF(K9="olej opałowy",P9*'Założenia,wskaźniki, listy'!$G$44,IF(K9="sieć ciepłownicza",0,IF(K9="prąd",0,0)))))))</f>
        <v>0</v>
      </c>
      <c r="S9" s="346">
        <f>IF(K9="węgiel",P9*'Założenia,wskaźniki, listy'!$C$45,IF(K9="gaz",P9*'Założenia,wskaźniki, listy'!$D$45,IF(K9="drewno",P9*'Założenia,wskaźniki, listy'!$E$45,IF(K9="pelet",P9*'Założenia,wskaźniki, listy'!$F$45,IF(K9="olej opałowy",P9*'Założenia,wskaźniki, listy'!$G$45,IF(K9="sieć ciepłownicza",0,IF(K9="prąd",0,0)))))))</f>
        <v>0</v>
      </c>
      <c r="T9" s="346">
        <f>IF(K9="węgiel",P9*'Założenia,wskaźniki, listy'!$C$46,IF(K9="gaz",P9*'Założenia,wskaźniki, listy'!$D$46,IF(K9="drewno",P9*'Założenia,wskaźniki, listy'!$E$46,IF(K9="pelet",P9*'Założenia,wskaźniki, listy'!$F$46,IF(K9="olej opałowy",P9*'Założenia,wskaźniki, listy'!$G$46,IF(K9="sieć ciepłownicza",P9*'Założenia,wskaźniki, listy'!$H$46,IF(K9="prąd",0,0)))))))</f>
        <v>0</v>
      </c>
      <c r="U9" s="346">
        <f>IF(K9="węgiel",P9*'Założenia,wskaźniki, listy'!$C$47,IF(K9="gaz",P9*'Założenia,wskaźniki, listy'!$D$47,IF(K9="drewno",P9*'Założenia,wskaźniki, listy'!$E$47,IF(K9="pelet",P9*'Założenia,wskaźniki, listy'!$F$47,IF(K9="olej opałowy",P9*'Założenia,wskaźniki, listy'!$G$47,IF(K9="sieć ciepłownicza",0,IF(K9="prąd",0,0)))))))</f>
        <v>0</v>
      </c>
      <c r="V9" s="346">
        <f>IF(K9="węgiel",P9*'Założenia,wskaźniki, listy'!$C$48, IF(K9="gaz",P9*'Założenia,wskaźniki, listy'!$D$48,IF(K9="drewno",P9*'Założenia,wskaźniki, listy'!$E$48,IF(K9="pelet",P9*'Założenia,wskaźniki, listy'!$F$48,IF(K9="olej opałowy",P9*'Założenia,wskaźniki, listy'!$G$48,IF(K9="sieć ciepłownicza",0,IF(K9="prąd",0,0)))))))</f>
        <v>0</v>
      </c>
      <c r="W9" s="346">
        <f>IF(K9="węgiel",P9*'Założenia,wskaźniki, listy'!$C$49, IF(K9="gaz",P9*'Założenia,wskaźniki, listy'!$D$49, IF(K9="drewno",P9*'Założenia,wskaźniki, listy'!$E$49,IF(K9="pelet",P9*'Założenia,wskaźniki, listy'!$F$49,IF(K9="olej opałowy",P9*'Założenia,wskaźniki, listy'!$G$49,IF(K9="sieć ciepłownicza",0,IF(K9="prąd",0,0)))))))</f>
        <v>0</v>
      </c>
      <c r="X9" s="346">
        <f>IF(K9="węgiel",P9*'Założenia,wskaźniki, listy'!$C$50,IF(K9="gaz",P9*'Założenia,wskaźniki, listy'!$D$50, IF(K9="drewno",P9*'Założenia,wskaźniki, listy'!$E$50,IF(K9="pelet",P9*'Założenia,wskaźniki, listy'!$F$50,IF(K9="pelet",P9*'Założenia,wskaźniki, listy'!$F$50,IF(K9="olej opałowy",P9*'Założenia,wskaźniki, listy'!$G$50,IF(K9="sieć ciepłownicza",0,IF(K9="prąd",0,0))))))))</f>
        <v>0</v>
      </c>
      <c r="Y9" s="116">
        <f t="shared" si="4"/>
        <v>0</v>
      </c>
      <c r="Z9" s="116">
        <f t="shared" si="4"/>
        <v>0</v>
      </c>
      <c r="AA9" s="116">
        <f>T9+Q9*'Założenia,wskaźniki, listy'!$J$46</f>
        <v>0</v>
      </c>
      <c r="AB9" s="116">
        <f t="shared" si="5"/>
        <v>0</v>
      </c>
      <c r="AC9" s="116">
        <f t="shared" si="3"/>
        <v>0</v>
      </c>
      <c r="AD9" s="116">
        <f t="shared" si="3"/>
        <v>0</v>
      </c>
      <c r="AE9" s="116">
        <f t="shared" si="3"/>
        <v>0</v>
      </c>
      <c r="AG9" s="813" t="s">
        <v>7</v>
      </c>
      <c r="AH9" s="372">
        <f>'Mieszkalne - baza'!D239</f>
        <v>0</v>
      </c>
      <c r="AI9" s="489">
        <f t="shared" si="6"/>
        <v>0</v>
      </c>
    </row>
    <row r="10" spans="1:35">
      <c r="A10" s="1036">
        <v>3</v>
      </c>
      <c r="B10" s="27" t="s">
        <v>21</v>
      </c>
      <c r="C10" s="1038" t="s">
        <v>108</v>
      </c>
      <c r="D10">
        <v>21</v>
      </c>
      <c r="E10" s="28">
        <v>1960</v>
      </c>
      <c r="F10" s="26">
        <v>97</v>
      </c>
      <c r="G10" s="26">
        <v>3</v>
      </c>
      <c r="H10" s="26"/>
      <c r="I10" s="26">
        <f>IF(E10&lt;=1966,'Założenia,wskaźniki, listy'!$H$4,IF(E10&gt;1966,IF(E10&lt;=1985,'Założenia,wskaźniki, listy'!$H$5,IF(E10&gt;1985,IF(E10&lt;=1992,'Założenia,wskaźniki, listy'!$H$6,IF(E10&gt;1992,IF(E10&lt;=1996,'Założenia,wskaźniki, listy'!$H$7,IF(E10&gt;1996,IF(E10&lt;=2013,'Założenia,wskaźniki, listy'!$H$8)))))))))</f>
        <v>290</v>
      </c>
      <c r="J10" s="28" t="s">
        <v>32</v>
      </c>
      <c r="K10" s="28" t="s">
        <v>7</v>
      </c>
      <c r="L10" s="26"/>
      <c r="M10" s="45"/>
      <c r="N10" s="30"/>
      <c r="O10" s="30"/>
      <c r="P10" s="62">
        <f t="shared" si="2"/>
        <v>0</v>
      </c>
      <c r="Q10" s="1061"/>
      <c r="R10" s="346">
        <f>IF(K10="węgiel",P10*'Założenia,wskaźniki, listy'!$C$44,IF(K10="gaz",P10*'Założenia,wskaźniki, listy'!$D$44,IF(K10="drewno",P10*'Założenia,wskaźniki, listy'!$E$44,IF(K10="pelet",P10*'Założenia,wskaźniki, listy'!$F$44,IF(K10="olej opałowy",P10*'Założenia,wskaźniki, listy'!$G$44,IF(K10="sieć ciepłownicza",0,IF(K10="prąd",0,0)))))))</f>
        <v>0</v>
      </c>
      <c r="S10" s="346">
        <f>IF(K10="węgiel",P10*'Założenia,wskaźniki, listy'!$C$45,IF(K10="gaz",P10*'Założenia,wskaźniki, listy'!$D$45,IF(K10="drewno",P10*'Założenia,wskaźniki, listy'!$E$45,IF(K10="pelet",P10*'Założenia,wskaźniki, listy'!$F$45,IF(K10="olej opałowy",P10*'Założenia,wskaźniki, listy'!$G$45,IF(K10="sieć ciepłownicza",0,IF(K10="prąd",0,0)))))))</f>
        <v>0</v>
      </c>
      <c r="T10" s="346">
        <f>IF(K10="węgiel",P10*'Założenia,wskaźniki, listy'!$C$46,IF(K10="gaz",P10*'Założenia,wskaźniki, listy'!$D$46,IF(K10="drewno",P10*'Założenia,wskaźniki, listy'!$E$46,IF(K10="pelet",P10*'Założenia,wskaźniki, listy'!$F$46,IF(K10="olej opałowy",P10*'Założenia,wskaźniki, listy'!$G$46,IF(K10="sieć ciepłownicza",P10*'Założenia,wskaźniki, listy'!$H$46,IF(K10="prąd",0,0)))))))</f>
        <v>0</v>
      </c>
      <c r="U10" s="346">
        <f>IF(K10="węgiel",P10*'Założenia,wskaźniki, listy'!$C$47,IF(K10="gaz",P10*'Założenia,wskaźniki, listy'!$D$47,IF(K10="drewno",P10*'Założenia,wskaźniki, listy'!$E$47,IF(K10="pelet",P10*'Założenia,wskaźniki, listy'!$F$47,IF(K10="olej opałowy",P10*'Założenia,wskaźniki, listy'!$G$47,IF(K10="sieć ciepłownicza",0,IF(K10="prąd",0,0)))))))</f>
        <v>0</v>
      </c>
      <c r="V10" s="346">
        <f>IF(K10="węgiel",P10*'Założenia,wskaźniki, listy'!$C$48, IF(K10="gaz",P10*'Założenia,wskaźniki, listy'!$D$48,IF(K10="drewno",P10*'Założenia,wskaźniki, listy'!$E$48,IF(K10="pelet",P10*'Założenia,wskaźniki, listy'!$F$48,IF(K10="olej opałowy",P10*'Założenia,wskaźniki, listy'!$G$48,IF(K10="sieć ciepłownicza",0,IF(K10="prąd",0,0)))))))</f>
        <v>0</v>
      </c>
      <c r="W10" s="346">
        <f>IF(K10="węgiel",P10*'Założenia,wskaźniki, listy'!$C$49, IF(K10="gaz",P10*'Założenia,wskaźniki, listy'!$D$49, IF(K10="drewno",P10*'Założenia,wskaźniki, listy'!$E$49,IF(K10="pelet",P10*'Założenia,wskaźniki, listy'!$F$49,IF(K10="olej opałowy",P10*'Założenia,wskaźniki, listy'!$G$49,IF(K10="sieć ciepłownicza",0,IF(K10="prąd",0,0)))))))</f>
        <v>0</v>
      </c>
      <c r="X10" s="346">
        <f>IF(K10="węgiel",P10*'Założenia,wskaźniki, listy'!$C$50,IF(K10="gaz",P10*'Założenia,wskaźniki, listy'!$D$50, IF(K10="drewno",P10*'Założenia,wskaźniki, listy'!$E$50,IF(K10="pelet",P10*'Założenia,wskaźniki, listy'!$F$50,IF(K10="pelet",P10*'Założenia,wskaźniki, listy'!$F$50,IF(K10="olej opałowy",P10*'Założenia,wskaźniki, listy'!$G$50,IF(K10="sieć ciepłownicza",0,IF(K10="prąd",0,0))))))))</f>
        <v>0</v>
      </c>
      <c r="Y10" s="116">
        <f t="shared" si="4"/>
        <v>0</v>
      </c>
      <c r="Z10" s="116">
        <f t="shared" si="4"/>
        <v>0</v>
      </c>
      <c r="AA10" s="116">
        <f>T10+Q10*'Założenia,wskaźniki, listy'!$J$46</f>
        <v>0</v>
      </c>
      <c r="AB10" s="116">
        <f t="shared" si="5"/>
        <v>0</v>
      </c>
      <c r="AC10" s="116">
        <f t="shared" si="3"/>
        <v>0</v>
      </c>
      <c r="AD10" s="116">
        <f t="shared" si="3"/>
        <v>0</v>
      </c>
      <c r="AE10" s="116">
        <f t="shared" si="3"/>
        <v>0</v>
      </c>
      <c r="AG10" s="813" t="s">
        <v>9</v>
      </c>
      <c r="AH10" s="372">
        <f>'Mieszkalne - baza'!D240</f>
        <v>0</v>
      </c>
      <c r="AI10" s="489">
        <f t="shared" si="6"/>
        <v>0</v>
      </c>
    </row>
    <row r="11" spans="1:35" ht="26.4">
      <c r="A11" s="1037"/>
      <c r="B11" s="27"/>
      <c r="C11" s="1039"/>
      <c r="E11" s="28"/>
      <c r="F11" s="26"/>
      <c r="G11" s="26"/>
      <c r="H11" s="26"/>
      <c r="I11" s="26">
        <f>IF(E11&lt;=1966,'Założenia,wskaźniki, listy'!$H$4,IF(E11&gt;1966,IF(E11&lt;=1985,'Założenia,wskaźniki, listy'!$H$5,IF(E11&gt;1985,IF(E11&lt;=1992,'Założenia,wskaźniki, listy'!$H$6,IF(E11&gt;1992,IF(E11&lt;=1996,'Założenia,wskaźniki, listy'!$H$7,IF(E11&gt;1996,IF(E11&lt;=2013,'Założenia,wskaźniki, listy'!$H$8)))))))))</f>
        <v>290</v>
      </c>
      <c r="J11" s="28"/>
      <c r="K11" s="350" t="str">
        <f>AG10</f>
        <v>energia elektryczna</v>
      </c>
      <c r="L11" s="26"/>
      <c r="M11" s="45"/>
      <c r="N11" s="30"/>
      <c r="O11" s="30"/>
      <c r="P11" s="62">
        <f t="shared" si="2"/>
        <v>0</v>
      </c>
      <c r="Q11" s="1061"/>
      <c r="R11" s="346">
        <f>IF(K11="węgiel",P11*'Założenia,wskaźniki, listy'!$C$44,IF(K11="gaz",P11*'Założenia,wskaźniki, listy'!$D$44,IF(K11="drewno",P11*'Założenia,wskaźniki, listy'!$E$44,IF(K11="pelet",P11*'Założenia,wskaźniki, listy'!$F$44,IF(K11="olej opałowy",P11*'Założenia,wskaźniki, listy'!$G$44,IF(K11="sieć ciepłownicza",0,IF(K11="prąd",0,0)))))))</f>
        <v>0</v>
      </c>
      <c r="S11" s="346">
        <f>IF(K11="węgiel",P11*'Założenia,wskaźniki, listy'!$C$45,IF(K11="gaz",P11*'Założenia,wskaźniki, listy'!$D$45,IF(K11="drewno",P11*'Założenia,wskaźniki, listy'!$E$45,IF(K11="pelet",P11*'Założenia,wskaźniki, listy'!$F$45,IF(K11="olej opałowy",P11*'Założenia,wskaźniki, listy'!$G$45,IF(K11="sieć ciepłownicza",0,IF(K11="prąd",0,0)))))))</f>
        <v>0</v>
      </c>
      <c r="T11" s="346">
        <f>IF(K11="węgiel",P11*'Założenia,wskaźniki, listy'!$C$46,IF(K11="gaz",P11*'Założenia,wskaźniki, listy'!$D$46,IF(K11="drewno",P11*'Założenia,wskaźniki, listy'!$E$46,IF(K11="pelet",P11*'Założenia,wskaźniki, listy'!$F$46,IF(K11="olej opałowy",P11*'Założenia,wskaźniki, listy'!$G$46,IF(K11="sieć ciepłownicza",P11*'Założenia,wskaźniki, listy'!$H$46,IF(K11="prąd",0,0)))))))</f>
        <v>0</v>
      </c>
      <c r="U11" s="346">
        <f>IF(K11="węgiel",P11*'Założenia,wskaźniki, listy'!$C$47,IF(K11="gaz",P11*'Założenia,wskaźniki, listy'!$D$47,IF(K11="drewno",P11*'Założenia,wskaźniki, listy'!$E$47,IF(K11="pelet",P11*'Założenia,wskaźniki, listy'!$F$47,IF(K11="olej opałowy",P11*'Założenia,wskaźniki, listy'!$G$47,IF(K11="sieć ciepłownicza",0,IF(K11="prąd",0,0)))))))</f>
        <v>0</v>
      </c>
      <c r="V11" s="346">
        <f>IF(K11="węgiel",P11*'Założenia,wskaźniki, listy'!$C$48, IF(K11="gaz",P11*'Założenia,wskaźniki, listy'!$D$48,IF(K11="drewno",P11*'Założenia,wskaźniki, listy'!$E$48,IF(K11="pelet",P11*'Założenia,wskaźniki, listy'!$F$48,IF(K11="olej opałowy",P11*'Założenia,wskaźniki, listy'!$G$48,IF(K11="sieć ciepłownicza",0,IF(K11="prąd",0,0)))))))</f>
        <v>0</v>
      </c>
      <c r="W11" s="346">
        <f>IF(K11="węgiel",P11*'Założenia,wskaźniki, listy'!$C$49, IF(K11="gaz",P11*'Założenia,wskaźniki, listy'!$D$49, IF(K11="drewno",P11*'Założenia,wskaźniki, listy'!$E$49,IF(K11="pelet",P11*'Założenia,wskaźniki, listy'!$F$49,IF(K11="olej opałowy",P11*'Założenia,wskaźniki, listy'!$G$49,IF(K11="sieć ciepłownicza",0,IF(K11="prąd",0,0)))))))</f>
        <v>0</v>
      </c>
      <c r="X11" s="346">
        <f>IF(K11="węgiel",P11*'Założenia,wskaźniki, listy'!$C$50,IF(K11="gaz",P11*'Założenia,wskaźniki, listy'!$D$50, IF(K11="drewno",P11*'Założenia,wskaźniki, listy'!$E$50,IF(K11="pelet",P11*'Założenia,wskaźniki, listy'!$F$50,IF(K11="pelet",P11*'Założenia,wskaźniki, listy'!$F$50,IF(K11="olej opałowy",P11*'Założenia,wskaźniki, listy'!$G$50,IF(K11="sieć ciepłownicza",0,IF(K11="prąd",0,0))))))))</f>
        <v>0</v>
      </c>
      <c r="Y11" s="116">
        <f t="shared" si="4"/>
        <v>0</v>
      </c>
      <c r="Z11" s="116">
        <f t="shared" si="4"/>
        <v>0</v>
      </c>
      <c r="AA11" s="116">
        <f>(P11/3.6+Q6)*'Założenia,wskaźniki, listy'!U1</f>
        <v>2458.8731518800005</v>
      </c>
      <c r="AB11" s="116">
        <f t="shared" si="5"/>
        <v>0</v>
      </c>
      <c r="AC11" s="116">
        <f t="shared" si="3"/>
        <v>0</v>
      </c>
      <c r="AD11" s="116">
        <f t="shared" si="3"/>
        <v>0</v>
      </c>
      <c r="AE11" s="116">
        <f t="shared" si="3"/>
        <v>0</v>
      </c>
      <c r="AG11" s="814" t="s">
        <v>392</v>
      </c>
      <c r="AH11" s="372">
        <f>'Mieszkalne - baza'!D241</f>
        <v>0</v>
      </c>
      <c r="AI11" s="489">
        <f t="shared" si="6"/>
        <v>0</v>
      </c>
    </row>
    <row r="12" spans="1:35" ht="27.6">
      <c r="A12" s="58">
        <v>4</v>
      </c>
      <c r="B12" s="27" t="s">
        <v>21</v>
      </c>
      <c r="C12" s="48" t="s">
        <v>108</v>
      </c>
      <c r="D12">
        <v>23</v>
      </c>
      <c r="E12" s="28">
        <v>1920</v>
      </c>
      <c r="F12" s="26">
        <v>100</v>
      </c>
      <c r="G12" s="26">
        <v>3</v>
      </c>
      <c r="H12" s="26"/>
      <c r="I12" s="26">
        <f>IF(E12&lt;=1966,'Założenia,wskaźniki, listy'!$H$4,IF(E12&gt;1966,IF(E12&lt;=1985,'Założenia,wskaźniki, listy'!$H$5,IF(E12&gt;1985,IF(E12&lt;=1992,'Założenia,wskaźniki, listy'!$H$6,IF(E12&gt;1992,IF(E12&lt;=1996,'Założenia,wskaźniki, listy'!$H$7,IF(E12&gt;1996,IF(E12&lt;=2013,'Założenia,wskaźniki, listy'!$H$8)))))))))</f>
        <v>290</v>
      </c>
      <c r="J12" s="28" t="s">
        <v>33</v>
      </c>
      <c r="K12" s="814" t="str">
        <f>AG11</f>
        <v>OŹE (kolektory słoneczne)</v>
      </c>
      <c r="L12" s="26"/>
      <c r="M12" s="45"/>
      <c r="N12" s="30"/>
      <c r="O12" s="30"/>
      <c r="P12" s="62">
        <f t="shared" si="2"/>
        <v>0</v>
      </c>
      <c r="Q12" s="1062"/>
      <c r="R12" s="346">
        <f>IF(K12="węgiel",P12*'Założenia,wskaźniki, listy'!$C$44,IF(K12="gaz",P12*'Założenia,wskaźniki, listy'!$D$44,IF(K12="drewno",P12*'Założenia,wskaźniki, listy'!$E$44,IF(K12="pelet",P12*'Założenia,wskaźniki, listy'!$F$44,IF(K12="olej opałowy",P12*'Założenia,wskaźniki, listy'!$G$44,IF(K12="sieć ciepłownicza",0,IF(K12="prąd",0,0)))))))</f>
        <v>0</v>
      </c>
      <c r="S12" s="346">
        <f>IF(K12="węgiel",P12*'Założenia,wskaźniki, listy'!$C$45,IF(K12="gaz",P12*'Założenia,wskaźniki, listy'!$D$45,IF(K12="drewno",P12*'Założenia,wskaźniki, listy'!$E$45,IF(K12="pelet",P12*'Założenia,wskaźniki, listy'!$F$45,IF(K12="olej opałowy",P12*'Założenia,wskaźniki, listy'!$G$45,IF(K12="sieć ciepłownicza",0,IF(K12="prąd",0,0)))))))</f>
        <v>0</v>
      </c>
      <c r="T12" s="346">
        <f>IF(K12="węgiel",P12*'Założenia,wskaźniki, listy'!$C$46,IF(K12="gaz",P12*'Założenia,wskaźniki, listy'!$D$46,IF(K12="drewno",P12*'Założenia,wskaźniki, listy'!$E$46,IF(K12="pelet",P12*'Założenia,wskaźniki, listy'!$F$46,IF(K12="olej opałowy",P12*'Założenia,wskaźniki, listy'!$G$46,IF(K12="sieć ciepłownicza",P12*'Założenia,wskaźniki, listy'!$H$46,IF(K12="prąd",0,0)))))))</f>
        <v>0</v>
      </c>
      <c r="U12" s="346">
        <f>IF(K12="węgiel",P12*'Założenia,wskaźniki, listy'!$C$47,IF(K12="gaz",P12*'Założenia,wskaźniki, listy'!$D$47,IF(K12="drewno",P12*'Założenia,wskaźniki, listy'!$E$47,IF(K12="pelet",P12*'Założenia,wskaźniki, listy'!$F$47,IF(K12="olej opałowy",P12*'Założenia,wskaźniki, listy'!$G$47,IF(K12="sieć ciepłownicza",0,IF(K12="prąd",0,0)))))))</f>
        <v>0</v>
      </c>
      <c r="V12" s="346">
        <f>IF(K12="węgiel",P12*'Założenia,wskaźniki, listy'!$C$48, IF(K12="gaz",P12*'Założenia,wskaźniki, listy'!$D$48,IF(K12="drewno",P12*'Założenia,wskaźniki, listy'!$E$48,IF(K12="pelet",P12*'Założenia,wskaźniki, listy'!$F$48,IF(K12="olej opałowy",P12*'Założenia,wskaźniki, listy'!$G$48,IF(K12="sieć ciepłownicza",0,IF(K12="prąd",0,0)))))))</f>
        <v>0</v>
      </c>
      <c r="W12" s="346">
        <f>IF(K12="węgiel",P12*'Założenia,wskaźniki, listy'!$C$49, IF(K12="gaz",P12*'Założenia,wskaźniki, listy'!$D$49, IF(K12="drewno",P12*'Założenia,wskaźniki, listy'!$E$49,IF(K12="pelet",P12*'Założenia,wskaźniki, listy'!$F$49,IF(K12="olej opałowy",P12*'Założenia,wskaźniki, listy'!$G$49,IF(K12="sieć ciepłownicza",0,IF(K12="prąd",0,0)))))))</f>
        <v>0</v>
      </c>
      <c r="X12" s="346">
        <f>IF(K12="węgiel",P12*'Założenia,wskaźniki, listy'!$C$50,IF(K12="gaz",P12*'Założenia,wskaźniki, listy'!$D$50, IF(K12="drewno",P12*'Założenia,wskaźniki, listy'!$E$50,IF(K12="pelet",P12*'Założenia,wskaźniki, listy'!$F$50,IF(K12="pelet",P12*'Założenia,wskaźniki, listy'!$F$50,IF(K12="olej opałowy",P12*'Założenia,wskaźniki, listy'!$G$50,IF(K12="sieć ciepłownicza",0,IF(K12="prąd",0,0))))))))</f>
        <v>0</v>
      </c>
      <c r="Y12" s="116">
        <f t="shared" si="4"/>
        <v>0</v>
      </c>
      <c r="Z12" s="116">
        <f t="shared" si="4"/>
        <v>0</v>
      </c>
      <c r="AA12" s="116">
        <f>T12+Q12*'Założenia,wskaźniki, listy'!$J$46</f>
        <v>0</v>
      </c>
      <c r="AB12" s="116">
        <f t="shared" si="5"/>
        <v>0</v>
      </c>
      <c r="AC12" s="116">
        <f t="shared" si="3"/>
        <v>0</v>
      </c>
      <c r="AD12" s="116">
        <f t="shared" si="3"/>
        <v>0</v>
      </c>
      <c r="AE12" s="116">
        <f t="shared" si="3"/>
        <v>0</v>
      </c>
      <c r="AG12" s="814" t="s">
        <v>315</v>
      </c>
      <c r="AH12" s="372">
        <f>'Mieszkalne - baza'!R231</f>
        <v>0</v>
      </c>
      <c r="AI12" s="489">
        <f t="shared" si="6"/>
        <v>0</v>
      </c>
    </row>
    <row r="13" spans="1:35">
      <c r="G13" s="27" t="s">
        <v>31</v>
      </c>
      <c r="H13" s="46" t="e">
        <f>J13/$J$14</f>
        <v>#DIV/0!</v>
      </c>
      <c r="I13" s="27" t="s">
        <v>121</v>
      </c>
      <c r="J13" s="44">
        <f>COUNTIF(J6:J12,"brak")</f>
        <v>0</v>
      </c>
      <c r="K13" s="115" t="s">
        <v>189</v>
      </c>
      <c r="L13" s="115"/>
      <c r="M13" s="115"/>
      <c r="N13" s="115"/>
      <c r="O13" s="115"/>
      <c r="P13" s="142">
        <f>SUM(P6:P12)</f>
        <v>81196.961570980711</v>
      </c>
      <c r="Q13" s="116">
        <f>Q6</f>
        <v>2957.1535200000003</v>
      </c>
      <c r="Y13" s="574">
        <f>SUM(Y6:Y12)</f>
        <v>23.08442329177452</v>
      </c>
      <c r="Z13" s="574">
        <f t="shared" ref="Z13:AE13" si="7">SUM(Z6:Z12)</f>
        <v>21.400055026370019</v>
      </c>
      <c r="AA13" s="574">
        <f t="shared" si="7"/>
        <v>8300.2052534786199</v>
      </c>
      <c r="AB13" s="574">
        <f t="shared" si="7"/>
        <v>1.9109646550410773E-2</v>
      </c>
      <c r="AC13" s="574">
        <f t="shared" si="7"/>
        <v>56.290480832893891</v>
      </c>
      <c r="AD13" s="574">
        <f t="shared" si="7"/>
        <v>11.356263688263184</v>
      </c>
      <c r="AE13" s="574">
        <f t="shared" si="7"/>
        <v>128.74020756716862</v>
      </c>
      <c r="AG13" s="27" t="s">
        <v>119</v>
      </c>
      <c r="AH13" s="51">
        <f>'Mieszkalne - baza'!D211</f>
        <v>81196.961570980711</v>
      </c>
      <c r="AI13" s="167">
        <f>SUM(AI5:AI12)</f>
        <v>1</v>
      </c>
    </row>
    <row r="14" spans="1:35">
      <c r="J14" s="25">
        <f>SUM(J13:J13)</f>
        <v>0</v>
      </c>
      <c r="M14" s="42"/>
      <c r="N14" s="42"/>
      <c r="O14" s="42"/>
      <c r="P14" s="42"/>
      <c r="R14" s="59"/>
      <c r="S14" s="59"/>
      <c r="T14" s="59"/>
      <c r="U14" s="59"/>
      <c r="V14" s="59"/>
      <c r="W14" s="59"/>
      <c r="X14" s="42"/>
    </row>
    <row r="15" spans="1:35">
      <c r="C15" s="42"/>
      <c r="M15" s="42"/>
      <c r="N15" s="41"/>
      <c r="O15" s="60"/>
      <c r="P15" s="60"/>
      <c r="Q15" s="42"/>
      <c r="R15" s="59"/>
      <c r="S15" s="59"/>
      <c r="T15" s="59"/>
      <c r="U15" s="59"/>
      <c r="V15" s="59"/>
      <c r="W15" s="59"/>
      <c r="X15" s="42"/>
      <c r="Y15" s="42"/>
    </row>
    <row r="16" spans="1:35">
      <c r="C16" s="42"/>
      <c r="D16" s="27" t="s">
        <v>129</v>
      </c>
      <c r="M16" s="42"/>
      <c r="N16" s="61"/>
      <c r="O16" s="60"/>
      <c r="P16" s="60"/>
      <c r="Q16" s="42"/>
      <c r="R16" s="59"/>
      <c r="S16" s="59"/>
      <c r="T16" s="59"/>
      <c r="U16" s="59"/>
      <c r="V16" s="59"/>
      <c r="W16" s="59"/>
      <c r="X16" s="42"/>
      <c r="Y16" s="42"/>
    </row>
    <row r="17" spans="1:37" ht="48" customHeight="1">
      <c r="C17" s="54"/>
      <c r="D17" s="56">
        <v>850</v>
      </c>
      <c r="E17" s="52" t="s">
        <v>130</v>
      </c>
      <c r="H17" s="25" t="s">
        <v>120</v>
      </c>
      <c r="M17" s="42"/>
      <c r="N17" s="61"/>
      <c r="O17" s="60"/>
      <c r="P17" s="60"/>
      <c r="Q17" s="42"/>
      <c r="R17" s="59"/>
      <c r="S17" s="59"/>
      <c r="T17" s="59"/>
      <c r="U17" s="59"/>
      <c r="V17" s="59"/>
      <c r="W17" s="59"/>
      <c r="X17" s="42"/>
      <c r="Y17" s="42"/>
      <c r="AK17" s="839"/>
    </row>
    <row r="18" spans="1:37">
      <c r="C18" s="55"/>
      <c r="D18" s="57">
        <v>1584</v>
      </c>
      <c r="E18" s="53" t="s">
        <v>98</v>
      </c>
      <c r="H18" s="25">
        <f>520</f>
        <v>520</v>
      </c>
      <c r="J18" s="25" t="s">
        <v>97</v>
      </c>
      <c r="M18" s="42"/>
      <c r="N18" s="61"/>
      <c r="O18" s="60"/>
      <c r="P18" s="60"/>
      <c r="Q18" s="42"/>
      <c r="R18" s="59"/>
      <c r="S18" s="59"/>
      <c r="T18" s="59"/>
      <c r="U18" s="59"/>
      <c r="V18" s="59"/>
      <c r="W18" s="59"/>
      <c r="X18" s="42"/>
      <c r="Y18" s="42"/>
      <c r="AK18" s="840"/>
    </row>
    <row r="19" spans="1:37">
      <c r="C19" s="42">
        <v>3.7</v>
      </c>
      <c r="D19">
        <f>D18/D17</f>
        <v>1.8635294117647059</v>
      </c>
      <c r="E19" s="25" t="s">
        <v>131</v>
      </c>
      <c r="M19" s="42"/>
      <c r="N19" s="61"/>
      <c r="O19" s="60"/>
      <c r="P19" s="60"/>
      <c r="Q19" s="42"/>
      <c r="R19" s="59"/>
      <c r="S19" s="59"/>
      <c r="T19" s="59"/>
      <c r="U19" s="59"/>
      <c r="V19" s="59"/>
      <c r="W19" s="59"/>
      <c r="X19" s="42"/>
      <c r="Y19" s="42"/>
    </row>
    <row r="20" spans="1:37">
      <c r="C20" s="42" t="s">
        <v>134</v>
      </c>
      <c r="D20" t="e">
        <f>(#REF!+#REF!)/D21</f>
        <v>#REF!</v>
      </c>
      <c r="E20" s="25" t="e">
        <f>D20*E21/D21</f>
        <v>#REF!</v>
      </c>
      <c r="F20" s="25" t="s">
        <v>133</v>
      </c>
      <c r="M20" s="42"/>
      <c r="N20" s="41"/>
      <c r="O20" s="60"/>
      <c r="P20" s="42"/>
      <c r="Q20" s="42"/>
      <c r="R20" s="59"/>
      <c r="S20" s="59"/>
      <c r="T20" s="59"/>
      <c r="U20" s="59"/>
      <c r="V20" s="59"/>
      <c r="W20" s="59"/>
      <c r="X20" s="42"/>
      <c r="Y20" s="42"/>
    </row>
    <row r="21" spans="1:37">
      <c r="C21" s="25" t="s">
        <v>132</v>
      </c>
      <c r="D21">
        <v>191</v>
      </c>
      <c r="E21" s="25">
        <f>D21*D19</f>
        <v>355.93411764705883</v>
      </c>
      <c r="M21" s="42"/>
      <c r="N21" s="42"/>
      <c r="O21" s="42"/>
      <c r="P21" s="42"/>
      <c r="Q21" s="42"/>
      <c r="R21" s="59"/>
      <c r="S21" s="59"/>
      <c r="T21" s="59"/>
      <c r="U21" s="59"/>
      <c r="V21" s="59"/>
      <c r="W21" s="59"/>
      <c r="X21" s="42"/>
      <c r="Y21" s="42"/>
    </row>
    <row r="22" spans="1:37">
      <c r="G22" s="1030" t="s">
        <v>125</v>
      </c>
      <c r="H22" s="1030"/>
      <c r="N22" s="41"/>
    </row>
    <row r="23" spans="1:37">
      <c r="G23" s="27" t="s">
        <v>122</v>
      </c>
      <c r="H23" s="27">
        <v>2707</v>
      </c>
      <c r="Y23" s="343">
        <f>Y13</f>
        <v>23.08442329177452</v>
      </c>
      <c r="Z23" s="343">
        <f>Z13</f>
        <v>21.400055026370019</v>
      </c>
      <c r="AA23" s="344">
        <f>AA13/100</f>
        <v>83.002052534786202</v>
      </c>
      <c r="AB23" s="343">
        <f>AB13*1000</f>
        <v>19.109646550410773</v>
      </c>
      <c r="AC23" s="343">
        <f>AC13</f>
        <v>56.290480832893891</v>
      </c>
      <c r="AD23" s="343">
        <f>AD13</f>
        <v>11.356263688263184</v>
      </c>
      <c r="AE23" s="343">
        <f>AE13</f>
        <v>128.74020756716862</v>
      </c>
    </row>
    <row r="24" spans="1:37">
      <c r="G24" s="27" t="s">
        <v>123</v>
      </c>
      <c r="H24" s="3">
        <v>241161</v>
      </c>
    </row>
    <row r="25" spans="1:37">
      <c r="A25" s="25"/>
      <c r="D25" s="25"/>
      <c r="G25" s="27" t="s">
        <v>99</v>
      </c>
      <c r="H25" s="47" t="e">
        <f>H24/#REF!*#REF!</f>
        <v>#REF!</v>
      </c>
      <c r="R25" s="25"/>
      <c r="S25" s="25"/>
      <c r="T25" s="25"/>
      <c r="U25" s="25"/>
      <c r="V25" s="25"/>
      <c r="W25" s="25"/>
    </row>
    <row r="33" spans="11:11">
      <c r="K33" s="157" t="s">
        <v>317</v>
      </c>
    </row>
  </sheetData>
  <mergeCells count="29">
    <mergeCell ref="K1:AE1"/>
    <mergeCell ref="K2:Q2"/>
    <mergeCell ref="Y2:AE3"/>
    <mergeCell ref="F3:F4"/>
    <mergeCell ref="AG3:AI3"/>
    <mergeCell ref="A3:A4"/>
    <mergeCell ref="B3:B4"/>
    <mergeCell ref="C3:C4"/>
    <mergeCell ref="D3:D4"/>
    <mergeCell ref="E3:E4"/>
    <mergeCell ref="G5:H5"/>
    <mergeCell ref="Q3:Q4"/>
    <mergeCell ref="R3:X3"/>
    <mergeCell ref="L3:L4"/>
    <mergeCell ref="M3:M4"/>
    <mergeCell ref="N3:N4"/>
    <mergeCell ref="O3:O4"/>
    <mergeCell ref="P3:P4"/>
    <mergeCell ref="G3:H3"/>
    <mergeCell ref="I3:I4"/>
    <mergeCell ref="J3:J4"/>
    <mergeCell ref="K3:K4"/>
    <mergeCell ref="R5:X5"/>
    <mergeCell ref="Q6:Q12"/>
    <mergeCell ref="G22:H22"/>
    <mergeCell ref="A6:A7"/>
    <mergeCell ref="A8:A9"/>
    <mergeCell ref="A10:A11"/>
    <mergeCell ref="C10:C11"/>
  </mergeCells>
  <pageMargins left="0.7" right="0.7" top="0.75" bottom="0.75" header="0.3" footer="0.3"/>
  <pageSetup paperSize="9" scale="75" orientation="landscape" r:id="rId1"/>
  <drawing r:id="rId2"/>
  <legacyDrawing r:id="rId3"/>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900-000000000000}">
          <x14:formula1>
            <xm:f>'Założenia,wskaźniki, listy'!$A$4:$A$10</xm:f>
          </x14:formula1>
          <xm:sqref>L6:L12 K6:K10</xm:sqref>
        </x14:dataValidation>
        <x14:dataValidation type="list" allowBlank="1" showInputMessage="1" showErrorMessage="1" xr:uid="{00000000-0002-0000-0900-000002000000}">
          <x14:formula1>
            <xm:f>'Założenia,wskaźniki, listy'!$N$27:$N$29</xm:f>
          </x14:formula1>
          <xm:sqref>B6:B12</xm:sqref>
        </x14:dataValidation>
        <x14:dataValidation type="list" allowBlank="1" showInputMessage="1" showErrorMessage="1" xr:uid="{00000000-0002-0000-0900-000003000000}">
          <x14:formula1>
            <xm:f>'Założenia,wskaźniki, listy'!$F$13:$F$15</xm:f>
          </x14:formula1>
          <xm:sqref>J6:J12</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M178"/>
  <sheetViews>
    <sheetView view="pageBreakPreview" zoomScale="130" zoomScaleNormal="115" zoomScaleSheetLayoutView="130" workbookViewId="0">
      <pane xSplit="3" ySplit="4" topLeftCell="D5" activePane="bottomRight" state="frozen"/>
      <selection pane="topRight" activeCell="D1" sqref="D1"/>
      <selection pane="bottomLeft" activeCell="A5" sqref="A5"/>
      <selection pane="bottomRight" activeCell="X18" sqref="X18"/>
    </sheetView>
  </sheetViews>
  <sheetFormatPr defaultColWidth="9" defaultRowHeight="13.8"/>
  <cols>
    <col min="1" max="1" width="2.09765625" style="80" customWidth="1"/>
    <col min="2" max="2" width="2.59765625" style="80" hidden="1" customWidth="1"/>
    <col min="3" max="3" width="10.59765625" style="80" hidden="1" customWidth="1"/>
    <col min="4" max="4" width="7.3984375" style="81" customWidth="1"/>
    <col min="5" max="5" width="4.5" style="81" hidden="1" customWidth="1"/>
    <col min="6" max="6" width="7.8984375" style="82" bestFit="1" customWidth="1"/>
    <col min="7" max="7" width="4.19921875" style="83" hidden="1" customWidth="1"/>
    <col min="8" max="8" width="6.59765625" style="83" hidden="1" customWidth="1"/>
    <col min="9" max="9" width="7.3984375" style="83" hidden="1" customWidth="1"/>
    <col min="10" max="10" width="5" style="83" hidden="1" customWidth="1"/>
    <col min="11" max="11" width="7.09765625" style="83" hidden="1" customWidth="1"/>
    <col min="12" max="13" width="2.19921875" style="83" hidden="1" customWidth="1"/>
    <col min="14" max="14" width="8.19921875" style="83" hidden="1" customWidth="1"/>
    <col min="15" max="15" width="4.59765625" style="83" hidden="1" customWidth="1"/>
    <col min="16" max="16" width="6" style="83" customWidth="1"/>
    <col min="17" max="17" width="8.59765625" style="83" bestFit="1" customWidth="1"/>
    <col min="18" max="18" width="26" style="83" customWidth="1"/>
    <col min="19" max="19" width="1.59765625" style="83" customWidth="1"/>
    <col min="20" max="20" width="4.3984375" style="83" customWidth="1"/>
    <col min="21" max="21" width="5.8984375" style="83" bestFit="1" customWidth="1"/>
    <col min="22" max="22" width="6" style="83" customWidth="1"/>
    <col min="23" max="23" width="6.19921875" style="83" customWidth="1"/>
    <col min="24" max="24" width="5" style="83" customWidth="1"/>
    <col min="25" max="25" width="6.59765625" style="84" customWidth="1"/>
    <col min="26" max="26" width="3.59765625" style="84" customWidth="1"/>
    <col min="27" max="27" width="4" style="84" customWidth="1"/>
    <col min="28" max="28" width="2.5" style="84" customWidth="1"/>
    <col min="29" max="29" width="5.09765625" style="84" customWidth="1"/>
    <col min="30" max="30" width="2.5" style="84" customWidth="1"/>
    <col min="31" max="31" width="2.5" style="83" customWidth="1"/>
    <col min="32" max="32" width="3.3984375" style="83" customWidth="1"/>
    <col min="33" max="33" width="3.59765625" style="83" customWidth="1"/>
    <col min="34" max="38" width="2.5" style="83" customWidth="1"/>
    <col min="39" max="39" width="5" style="83" customWidth="1"/>
    <col min="40" max="40" width="5.19921875" style="83" bestFit="1" customWidth="1"/>
    <col min="41" max="41" width="4.69921875" style="78" bestFit="1" customWidth="1"/>
    <col min="42" max="42" width="5.3984375" style="78" hidden="1" customWidth="1"/>
    <col min="43" max="43" width="3.3984375" style="78" bestFit="1" customWidth="1"/>
    <col min="44" max="44" width="3.59765625" style="78" bestFit="1" customWidth="1"/>
    <col min="45" max="45" width="4.5" style="78" bestFit="1" customWidth="1"/>
    <col min="46" max="47" width="3" style="78" bestFit="1" customWidth="1"/>
    <col min="48" max="48" width="3.8984375" style="78" bestFit="1" customWidth="1"/>
    <col min="49" max="49" width="3" style="78" bestFit="1" customWidth="1"/>
    <col min="50" max="50" width="2.5" style="78" hidden="1" customWidth="1"/>
    <col min="51" max="51" width="4.59765625" style="78" hidden="1" customWidth="1"/>
    <col min="52" max="52" width="6" style="78" hidden="1" customWidth="1"/>
    <col min="53" max="53" width="4.69921875" style="78" hidden="1" customWidth="1"/>
    <col min="54" max="54" width="6" style="83" hidden="1" customWidth="1"/>
    <col min="55" max="55" width="5.09765625" style="83" hidden="1" customWidth="1"/>
    <col min="56" max="56" width="15.09765625" style="83" customWidth="1"/>
    <col min="57" max="57" width="5.09765625" style="83" customWidth="1"/>
    <col min="58" max="58" width="5.59765625" style="83" hidden="1" customWidth="1"/>
    <col min="59" max="59" width="0" style="79" hidden="1" customWidth="1"/>
    <col min="60" max="60" width="5.19921875" style="79" hidden="1" customWidth="1"/>
    <col min="61" max="61" width="5.5" style="79" hidden="1" customWidth="1"/>
    <col min="62" max="62" width="5.69921875" style="79" hidden="1" customWidth="1"/>
    <col min="63" max="63" width="6.09765625" style="79" hidden="1" customWidth="1"/>
    <col min="64" max="64" width="5.69921875" style="79" hidden="1" customWidth="1"/>
    <col min="65" max="65" width="5" style="79" hidden="1" customWidth="1"/>
    <col min="66" max="66" width="5.69921875" style="79" hidden="1" customWidth="1"/>
    <col min="67" max="67" width="5" style="79" hidden="1" customWidth="1"/>
    <col min="68" max="68" width="4.59765625" style="79" hidden="1" customWidth="1"/>
    <col min="69" max="69" width="5.09765625" style="79" hidden="1" customWidth="1"/>
    <col min="70" max="71" width="4" style="79" hidden="1" customWidth="1"/>
    <col min="72" max="72" width="4.19921875" style="79" hidden="1" customWidth="1"/>
    <col min="73" max="78" width="4" style="79" hidden="1" customWidth="1"/>
    <col min="79" max="79" width="4.19921875" style="79" hidden="1" customWidth="1"/>
    <col min="80" max="83" width="4" style="79" hidden="1" customWidth="1"/>
    <col min="84" max="84" width="3.8984375" hidden="1" customWidth="1"/>
    <col min="85" max="85" width="3.8984375" style="79" hidden="1" customWidth="1"/>
    <col min="86" max="86" width="3.8984375" hidden="1" customWidth="1"/>
    <col min="87" max="87" width="4.5" style="79" hidden="1" customWidth="1"/>
    <col min="88" max="90" width="3.8984375" style="79" hidden="1" customWidth="1"/>
    <col min="91" max="91" width="0" style="79" hidden="1" customWidth="1"/>
    <col min="92" max="16384" width="9" style="79"/>
  </cols>
  <sheetData>
    <row r="1" spans="1:91" ht="14.4" thickBot="1">
      <c r="A1" s="1123" t="s">
        <v>298</v>
      </c>
      <c r="B1" s="1124"/>
      <c r="C1" s="1124"/>
      <c r="D1" s="1124"/>
      <c r="E1" s="1124"/>
      <c r="F1" s="1124"/>
      <c r="G1" s="1124"/>
      <c r="H1" s="1124"/>
      <c r="I1" s="1124"/>
      <c r="J1" s="1124"/>
      <c r="K1" s="1124"/>
      <c r="L1" s="1124"/>
      <c r="M1" s="1124"/>
      <c r="N1" s="1124"/>
      <c r="O1" s="1124"/>
      <c r="P1" s="1124"/>
      <c r="Q1" s="1124"/>
      <c r="R1" s="1124"/>
      <c r="S1" s="1124"/>
      <c r="T1" s="1124"/>
      <c r="U1" s="1124"/>
      <c r="V1" s="1124"/>
      <c r="W1" s="1124"/>
      <c r="X1" s="1124"/>
      <c r="Y1" s="1124"/>
      <c r="Z1" s="1124"/>
      <c r="AA1" s="1124"/>
      <c r="AB1" s="1124"/>
      <c r="AC1" s="1124"/>
      <c r="AD1" s="1124"/>
      <c r="AE1" s="1124"/>
      <c r="AF1" s="1124"/>
      <c r="AG1" s="1124"/>
      <c r="AH1" s="1124"/>
      <c r="AI1" s="1124"/>
      <c r="AJ1" s="1124"/>
      <c r="AK1" s="1124"/>
      <c r="AL1" s="1124"/>
      <c r="AM1" s="1124"/>
      <c r="AN1" s="1124"/>
      <c r="AO1" s="1124"/>
      <c r="AP1" s="1124"/>
      <c r="AQ1" s="1124"/>
      <c r="AR1" s="1124"/>
      <c r="AS1" s="1124"/>
      <c r="AT1" s="1124"/>
      <c r="AU1" s="1124"/>
      <c r="AV1" s="1124"/>
      <c r="AW1" s="1124"/>
      <c r="AX1" s="1124"/>
      <c r="AY1" s="1124"/>
      <c r="AZ1" s="1124"/>
      <c r="BA1" s="1124"/>
      <c r="BB1" s="1124"/>
      <c r="BC1" s="1124"/>
      <c r="BD1" s="1124"/>
      <c r="BE1" s="1124"/>
      <c r="BF1" s="1125"/>
      <c r="BH1" s="1126" t="s">
        <v>112</v>
      </c>
      <c r="BI1" s="1126"/>
      <c r="BJ1" s="1126"/>
      <c r="BK1" s="1126"/>
      <c r="BL1" s="1126"/>
      <c r="BM1" s="1126"/>
      <c r="BN1" s="1126"/>
      <c r="BO1" s="1126"/>
      <c r="BP1" s="1126"/>
      <c r="BQ1" s="232"/>
      <c r="BR1" s="251" t="s">
        <v>113</v>
      </c>
      <c r="BS1" s="252"/>
      <c r="BT1" s="252"/>
      <c r="BU1" s="252"/>
      <c r="BV1" s="252"/>
      <c r="BW1" s="252"/>
      <c r="BX1" s="99"/>
      <c r="BY1" s="95"/>
      <c r="BZ1" s="95"/>
      <c r="CA1" s="95"/>
      <c r="CB1" s="95"/>
      <c r="CC1" s="95"/>
      <c r="CD1" s="95"/>
      <c r="CE1" s="95"/>
    </row>
    <row r="2" spans="1:91" s="76" customFormat="1" ht="16.8">
      <c r="A2" s="1001" t="s">
        <v>4</v>
      </c>
      <c r="B2" s="1001" t="s">
        <v>156</v>
      </c>
      <c r="C2" s="1001"/>
      <c r="D2" s="1057" t="s">
        <v>299</v>
      </c>
      <c r="E2" s="1127" t="s">
        <v>158</v>
      </c>
      <c r="F2" s="1012" t="s">
        <v>159</v>
      </c>
      <c r="G2" s="1000" t="s">
        <v>24</v>
      </c>
      <c r="H2" s="1000" t="s">
        <v>160</v>
      </c>
      <c r="I2" s="1000" t="s">
        <v>161</v>
      </c>
      <c r="J2" s="1000" t="s">
        <v>162</v>
      </c>
      <c r="K2" s="1000" t="s">
        <v>163</v>
      </c>
      <c r="L2" s="1000" t="s">
        <v>164</v>
      </c>
      <c r="M2" s="1000"/>
      <c r="N2" s="1000" t="s">
        <v>34</v>
      </c>
      <c r="O2" s="1000" t="s">
        <v>77</v>
      </c>
      <c r="P2" s="1000" t="s">
        <v>300</v>
      </c>
      <c r="Q2" s="1000" t="s">
        <v>301</v>
      </c>
      <c r="R2" s="1121" t="s">
        <v>83</v>
      </c>
      <c r="S2" s="1121" t="s">
        <v>302</v>
      </c>
      <c r="T2" s="1121" t="s">
        <v>78</v>
      </c>
      <c r="U2" s="1121" t="s">
        <v>303</v>
      </c>
      <c r="V2" s="1121" t="s">
        <v>47</v>
      </c>
      <c r="W2" s="1121" t="s">
        <v>96</v>
      </c>
      <c r="X2" s="1121" t="s">
        <v>47</v>
      </c>
      <c r="Y2" s="1122" t="s">
        <v>80</v>
      </c>
      <c r="Z2" s="1122"/>
      <c r="AA2" s="1122"/>
      <c r="AB2" s="1122"/>
      <c r="AC2" s="1122"/>
      <c r="AD2" s="1122"/>
      <c r="AE2" s="1122"/>
      <c r="AF2" s="1001" t="s">
        <v>81</v>
      </c>
      <c r="AG2" s="1001"/>
      <c r="AH2" s="1001"/>
      <c r="AI2" s="1001"/>
      <c r="AJ2" s="1001"/>
      <c r="AK2" s="1001"/>
      <c r="AL2" s="1001"/>
      <c r="AM2" s="1000" t="s">
        <v>165</v>
      </c>
      <c r="AN2" s="1000" t="s">
        <v>304</v>
      </c>
      <c r="AO2" s="1000" t="s">
        <v>166</v>
      </c>
      <c r="AP2" s="1000" t="s">
        <v>167</v>
      </c>
      <c r="AQ2" s="1001" t="s">
        <v>82</v>
      </c>
      <c r="AR2" s="1001"/>
      <c r="AS2" s="1001"/>
      <c r="AT2" s="1001"/>
      <c r="AU2" s="1001"/>
      <c r="AV2" s="1001"/>
      <c r="AW2" s="1001"/>
      <c r="AX2" s="1000" t="s">
        <v>85</v>
      </c>
      <c r="AY2" s="1000" t="s">
        <v>89</v>
      </c>
      <c r="AZ2" s="1000" t="s">
        <v>168</v>
      </c>
      <c r="BA2" s="1000" t="s">
        <v>89</v>
      </c>
      <c r="BB2" s="1000" t="s">
        <v>169</v>
      </c>
      <c r="BC2" s="1000" t="s">
        <v>170</v>
      </c>
      <c r="BD2" s="1000" t="s">
        <v>305</v>
      </c>
      <c r="BE2" s="1000" t="s">
        <v>306</v>
      </c>
      <c r="BF2" s="1120" t="s">
        <v>169</v>
      </c>
      <c r="BH2" s="253" t="s">
        <v>114</v>
      </c>
      <c r="BI2" s="254" t="s">
        <v>115</v>
      </c>
      <c r="BJ2" s="255" t="s">
        <v>38</v>
      </c>
      <c r="BK2" s="254" t="s">
        <v>115</v>
      </c>
      <c r="BL2" s="255" t="s">
        <v>40</v>
      </c>
      <c r="BM2" s="254" t="s">
        <v>115</v>
      </c>
      <c r="BN2" s="255" t="s">
        <v>42</v>
      </c>
      <c r="BO2" s="254" t="s">
        <v>115</v>
      </c>
      <c r="BP2" s="255" t="s">
        <v>44</v>
      </c>
      <c r="BQ2" s="256"/>
      <c r="BR2" s="257" t="s">
        <v>8</v>
      </c>
      <c r="BS2" s="258" t="s">
        <v>116</v>
      </c>
      <c r="BT2" s="258" t="s">
        <v>79</v>
      </c>
      <c r="BU2" s="258" t="s">
        <v>27</v>
      </c>
      <c r="BV2" s="258" t="s">
        <v>117</v>
      </c>
      <c r="BW2" s="259" t="s">
        <v>29</v>
      </c>
      <c r="BX2" s="260" t="s">
        <v>307</v>
      </c>
      <c r="BY2" s="261" t="s">
        <v>8</v>
      </c>
      <c r="BZ2" s="262" t="s">
        <v>116</v>
      </c>
      <c r="CA2" s="262" t="s">
        <v>79</v>
      </c>
      <c r="CB2" s="262" t="s">
        <v>27</v>
      </c>
      <c r="CC2" s="262" t="s">
        <v>117</v>
      </c>
      <c r="CD2" s="263" t="s">
        <v>29</v>
      </c>
      <c r="CE2" s="264" t="s">
        <v>307</v>
      </c>
      <c r="CF2" s="261" t="s">
        <v>8</v>
      </c>
      <c r="CG2" s="264" t="s">
        <v>307</v>
      </c>
      <c r="CH2" s="262" t="s">
        <v>116</v>
      </c>
      <c r="CI2" s="262" t="s">
        <v>79</v>
      </c>
      <c r="CJ2" s="262" t="s">
        <v>27</v>
      </c>
      <c r="CK2" s="262" t="s">
        <v>117</v>
      </c>
      <c r="CL2" s="263" t="s">
        <v>29</v>
      </c>
    </row>
    <row r="3" spans="1:91" s="76" customFormat="1" ht="45" customHeight="1">
      <c r="A3" s="1001"/>
      <c r="B3" s="1001"/>
      <c r="C3" s="1001"/>
      <c r="D3" s="1057"/>
      <c r="E3" s="1127"/>
      <c r="F3" s="1012"/>
      <c r="G3" s="1000"/>
      <c r="H3" s="1000"/>
      <c r="I3" s="1000"/>
      <c r="J3" s="1000"/>
      <c r="K3" s="1000"/>
      <c r="L3" s="1000"/>
      <c r="M3" s="1000"/>
      <c r="N3" s="1000"/>
      <c r="O3" s="1000"/>
      <c r="P3" s="1000"/>
      <c r="Q3" s="1000"/>
      <c r="R3" s="1121"/>
      <c r="S3" s="1121"/>
      <c r="T3" s="1121"/>
      <c r="U3" s="1121"/>
      <c r="V3" s="1121"/>
      <c r="W3" s="1121"/>
      <c r="X3" s="1121"/>
      <c r="Y3" s="265" t="s">
        <v>66</v>
      </c>
      <c r="Z3" s="265" t="s">
        <v>67</v>
      </c>
      <c r="AA3" s="265" t="s">
        <v>68</v>
      </c>
      <c r="AB3" s="265" t="s">
        <v>69</v>
      </c>
      <c r="AC3" s="265" t="s">
        <v>70</v>
      </c>
      <c r="AD3" s="265" t="s">
        <v>71</v>
      </c>
      <c r="AE3" s="265" t="s">
        <v>72</v>
      </c>
      <c r="AF3" s="247" t="s">
        <v>66</v>
      </c>
      <c r="AG3" s="247" t="s">
        <v>67</v>
      </c>
      <c r="AH3" s="247" t="s">
        <v>68</v>
      </c>
      <c r="AI3" s="247" t="s">
        <v>69</v>
      </c>
      <c r="AJ3" s="247" t="s">
        <v>70</v>
      </c>
      <c r="AK3" s="247" t="s">
        <v>71</v>
      </c>
      <c r="AL3" s="247" t="s">
        <v>72</v>
      </c>
      <c r="AM3" s="1000"/>
      <c r="AN3" s="1000"/>
      <c r="AO3" s="1000"/>
      <c r="AP3" s="1000"/>
      <c r="AQ3" s="248" t="s">
        <v>66</v>
      </c>
      <c r="AR3" s="248" t="s">
        <v>67</v>
      </c>
      <c r="AS3" s="248" t="s">
        <v>135</v>
      </c>
      <c r="AT3" s="248" t="s">
        <v>69</v>
      </c>
      <c r="AU3" s="248" t="s">
        <v>70</v>
      </c>
      <c r="AV3" s="248" t="s">
        <v>71</v>
      </c>
      <c r="AW3" s="248" t="s">
        <v>72</v>
      </c>
      <c r="AX3" s="1000"/>
      <c r="AY3" s="1000"/>
      <c r="AZ3" s="1000"/>
      <c r="BA3" s="1000"/>
      <c r="BB3" s="1000"/>
      <c r="BC3" s="1000"/>
      <c r="BD3" s="1000"/>
      <c r="BE3" s="1000"/>
      <c r="BF3" s="1120"/>
      <c r="BH3" s="266"/>
      <c r="BI3" s="267"/>
      <c r="BJ3" s="267"/>
      <c r="BK3" s="267"/>
      <c r="BL3" s="267"/>
      <c r="BM3" s="267"/>
      <c r="BN3" s="267"/>
      <c r="BO3" s="267"/>
      <c r="BP3" s="267"/>
      <c r="BQ3" s="268"/>
      <c r="BR3" s="269"/>
      <c r="BS3" s="269"/>
      <c r="BT3" s="269"/>
      <c r="BU3" s="269"/>
      <c r="BV3" s="269"/>
      <c r="BW3" s="269"/>
      <c r="BX3" s="269"/>
      <c r="BY3" s="266"/>
      <c r="BZ3" s="267"/>
      <c r="CA3" s="267"/>
      <c r="CB3" s="267"/>
      <c r="CC3" s="267"/>
      <c r="CD3" s="268"/>
      <c r="CE3" s="267"/>
    </row>
    <row r="4" spans="1:91" s="76" customFormat="1" ht="8.4">
      <c r="A4" s="303">
        <v>1</v>
      </c>
      <c r="B4" s="303"/>
      <c r="C4" s="303"/>
      <c r="D4" s="270">
        <v>2</v>
      </c>
      <c r="E4" s="270"/>
      <c r="F4" s="271">
        <v>3</v>
      </c>
      <c r="G4" s="303">
        <v>4</v>
      </c>
      <c r="H4" s="303">
        <v>5</v>
      </c>
      <c r="I4" s="303"/>
      <c r="J4" s="303"/>
      <c r="K4" s="303"/>
      <c r="L4" s="1115">
        <v>6</v>
      </c>
      <c r="M4" s="1115"/>
      <c r="N4" s="303">
        <v>5</v>
      </c>
      <c r="O4" s="303">
        <v>6</v>
      </c>
      <c r="P4" s="303">
        <v>7</v>
      </c>
      <c r="Q4" s="303">
        <v>8</v>
      </c>
      <c r="R4" s="303">
        <v>9</v>
      </c>
      <c r="S4" s="303">
        <v>10</v>
      </c>
      <c r="T4" s="303">
        <v>11</v>
      </c>
      <c r="U4" s="303">
        <v>12</v>
      </c>
      <c r="V4" s="303">
        <v>12</v>
      </c>
      <c r="W4" s="303">
        <v>13</v>
      </c>
      <c r="X4" s="303">
        <v>14</v>
      </c>
      <c r="Y4" s="303">
        <v>15</v>
      </c>
      <c r="Z4" s="303">
        <v>16</v>
      </c>
      <c r="AA4" s="303">
        <v>17</v>
      </c>
      <c r="AB4" s="303">
        <v>18</v>
      </c>
      <c r="AC4" s="303">
        <v>19</v>
      </c>
      <c r="AD4" s="303">
        <v>20</v>
      </c>
      <c r="AE4" s="303">
        <v>21</v>
      </c>
      <c r="AF4" s="303">
        <v>29</v>
      </c>
      <c r="AG4" s="303">
        <v>30</v>
      </c>
      <c r="AH4" s="303">
        <v>31</v>
      </c>
      <c r="AI4" s="303">
        <v>32</v>
      </c>
      <c r="AJ4" s="303">
        <v>33</v>
      </c>
      <c r="AK4" s="303">
        <v>34</v>
      </c>
      <c r="AL4" s="303">
        <v>35</v>
      </c>
      <c r="AM4" s="303">
        <v>13</v>
      </c>
      <c r="AN4" s="303">
        <v>14</v>
      </c>
      <c r="AO4" s="303">
        <v>15</v>
      </c>
      <c r="AP4" s="303">
        <v>13</v>
      </c>
      <c r="AQ4" s="303">
        <v>16</v>
      </c>
      <c r="AR4" s="303">
        <f>AQ4+1</f>
        <v>17</v>
      </c>
      <c r="AS4" s="303">
        <f t="shared" ref="AS4:BC4" si="0">AR4+1</f>
        <v>18</v>
      </c>
      <c r="AT4" s="303">
        <f t="shared" si="0"/>
        <v>19</v>
      </c>
      <c r="AU4" s="303">
        <f t="shared" si="0"/>
        <v>20</v>
      </c>
      <c r="AV4" s="303">
        <f t="shared" si="0"/>
        <v>21</v>
      </c>
      <c r="AW4" s="303">
        <f t="shared" si="0"/>
        <v>22</v>
      </c>
      <c r="AX4" s="303">
        <f t="shared" si="0"/>
        <v>23</v>
      </c>
      <c r="AY4" s="303">
        <f t="shared" si="0"/>
        <v>24</v>
      </c>
      <c r="AZ4" s="303">
        <f t="shared" si="0"/>
        <v>25</v>
      </c>
      <c r="BA4" s="303">
        <f t="shared" si="0"/>
        <v>26</v>
      </c>
      <c r="BB4" s="303">
        <f t="shared" si="0"/>
        <v>27</v>
      </c>
      <c r="BC4" s="303">
        <f t="shared" si="0"/>
        <v>28</v>
      </c>
      <c r="BD4" s="303">
        <v>25</v>
      </c>
      <c r="BE4" s="303">
        <v>26</v>
      </c>
      <c r="BF4" s="354">
        <v>28</v>
      </c>
      <c r="BH4" s="272"/>
      <c r="BI4" s="273"/>
      <c r="BJ4" s="273"/>
      <c r="BK4" s="273"/>
      <c r="BL4" s="273"/>
      <c r="BM4" s="273"/>
      <c r="BN4" s="273"/>
      <c r="BO4" s="273"/>
      <c r="BP4" s="273"/>
      <c r="BQ4" s="274"/>
      <c r="BR4" s="275"/>
      <c r="BS4" s="275"/>
      <c r="BT4" s="275"/>
      <c r="BU4" s="275"/>
      <c r="BV4" s="275"/>
      <c r="BW4" s="275"/>
      <c r="BX4" s="275"/>
      <c r="BY4" s="276"/>
      <c r="BZ4" s="277"/>
      <c r="CA4" s="277"/>
      <c r="CB4" s="277"/>
      <c r="CC4" s="277"/>
      <c r="CD4" s="278"/>
      <c r="CE4" s="277"/>
    </row>
    <row r="5" spans="1:91" ht="8.4">
      <c r="A5" s="279">
        <v>1</v>
      </c>
      <c r="B5" s="87"/>
      <c r="C5" s="87" t="b">
        <f t="shared" ref="C5" si="1">IF(ISTEXT(D5),1)</f>
        <v>0</v>
      </c>
      <c r="D5" s="280"/>
      <c r="E5" s="235"/>
      <c r="F5" s="280"/>
      <c r="G5" s="88"/>
      <c r="H5" s="88"/>
      <c r="I5" s="86"/>
      <c r="J5" s="86"/>
      <c r="K5" s="88"/>
      <c r="L5" s="88"/>
      <c r="M5" s="88"/>
      <c r="N5" s="88">
        <v>290</v>
      </c>
      <c r="O5" s="281"/>
      <c r="P5" s="300"/>
      <c r="Q5" s="88"/>
      <c r="R5" s="250"/>
      <c r="S5" s="250"/>
      <c r="T5" s="300"/>
      <c r="U5" s="282">
        <f t="shared" ref="U5:U8" si="2">IF(V5&gt;0,(W5+X5+V5)/2,W5+X5)</f>
        <v>0</v>
      </c>
      <c r="V5" s="236">
        <v>0</v>
      </c>
      <c r="W5" s="236">
        <v>0</v>
      </c>
      <c r="X5" s="236">
        <v>0</v>
      </c>
      <c r="Y5" s="89">
        <f>IF(P5="węgiel",U5*'Założenia,wskaźniki, listy'!$C$44,IF(P5="gaz",U5*'Założenia,wskaźniki, listy'!$D$44,IF(P5="drewno",U5*'Założenia,wskaźniki, listy'!$E$44,IF(P5="pelet",U5*'Założenia,wskaźniki, listy'!$F$44,IF(P5="olej opałowy",U5*'Założenia,wskaźniki, listy'!$G$44,IF(P5="sieć ciepłownicza",0,IF(P5="prąd",0,0)))))))</f>
        <v>0</v>
      </c>
      <c r="Z5" s="77">
        <f>IF(P5="węgiel",U5*'Założenia,wskaźniki, listy'!$C$45,IF(P5="gaz",U5*'Założenia,wskaźniki, listy'!$D$45,IF(P5="drewno",U5*'Założenia,wskaźniki, listy'!$E$45,IF(P5="pelet",U5*'Założenia,wskaźniki, listy'!$F$45,IF(P5="olej opałowy",U5*'Założenia,wskaźniki, listy'!$G$45,IF(P5="sieć ciepłownicza",0,IF(P5="prąd",0,0)))))))</f>
        <v>0</v>
      </c>
      <c r="AA5" s="77">
        <f>IF(P5="węgiel",P5*'Założenia,wskaźniki, listy'!$C$46,IF(P5="gaz",U5*'Założenia,wskaźniki, listy'!$D$46,IF(P5="drewno",U5*'Założenia,wskaźniki, listy'!$E$46,IF(P5="pelet",U5*'Założenia,wskaźniki, listy'!$F$46,IF(P5="olej opałowy",U5*'Założenia,wskaźniki, listy'!$G$46,IF(P5="sieć ciepłownicza",U5*'Założenia,wskaźniki, listy'!$H$46,IF(P5="prąd",0,0)))))))</f>
        <v>0</v>
      </c>
      <c r="AB5" s="77">
        <f>IF(P5="węgiel",U5*'Założenia,wskaźniki, listy'!$C$47,IF(P5="gaz",U5*'Założenia,wskaźniki, listy'!$D$47,IF(P5="drewno",U5*'Założenia,wskaźniki, listy'!$E$47,IF(P5="pelet",U5*'Założenia,wskaźniki, listy'!$F$47,IF(P5="olej opałowy",U5*'Założenia,wskaźniki, listy'!$G$47,IF(P5="sieć ciepłownicza",0,IF(P5="prąd",0,0)))))))</f>
        <v>0</v>
      </c>
      <c r="AC5" s="89">
        <f>IF(P5="węgiel",U5*'Założenia,wskaźniki, listy'!$C$48, IF(P5="gaz",U5*'Założenia,wskaźniki, listy'!$D$48,IF(P5="drewno",U5*'Założenia,wskaźniki, listy'!$E$48,IF(P5="pelet",U5*'Założenia,wskaźniki, listy'!$F$48,IF(P5="olej opałowy",U5*'Założenia,wskaźniki, listy'!$G$48,IF(P5="sieć ciepłownicza",0,IF(P5="prąd",0,0)))))))</f>
        <v>0</v>
      </c>
      <c r="AD5" s="77">
        <f>IF(P5="węgiel",U5*'Założenia,wskaźniki, listy'!$C$49, IF(P5="gaz",U5*'Założenia,wskaźniki, listy'!$D$49, IF(P5="drewno",U5*'Założenia,wskaźniki, listy'!$E$49,IF(P5="pelet",U5*'Założenia,wskaźniki, listy'!$F$49,IF(P5="olej opałowy",U5*'Założenia,wskaźniki, listy'!$G$49,IF(P5="sieć ciepłownicza",0,IF(P5="prąd",0,0)))))))</f>
        <v>0</v>
      </c>
      <c r="AE5" s="77">
        <f>IF(P5="węgiel",U5*'Założenia,wskaźniki, listy'!$C$50,IF(P5="gaz",U5*'Założenia,wskaźniki, listy'!$D$50, IF(P5="drewno",U5*'Założenia,wskaźniki, listy'!$E$50,IF(P5="pelet",U5*'Założenia,wskaźniki, listy'!$F$50,IF(P5="pelet",U5*'Założenia,wskaźniki, listy'!$F$50,IF(P5="olej opałowy",U5*'Założenia,wskaźniki, listy'!$G$50,IF(P5="sieć ciepłownicza",0,IF(P5="prąd",0,0))))))))</f>
        <v>0</v>
      </c>
      <c r="AF5" s="77">
        <v>0</v>
      </c>
      <c r="AG5" s="77">
        <v>0</v>
      </c>
      <c r="AH5" s="77">
        <v>0</v>
      </c>
      <c r="AI5" s="77">
        <v>0</v>
      </c>
      <c r="AJ5" s="77">
        <v>0</v>
      </c>
      <c r="AK5" s="77">
        <v>0</v>
      </c>
      <c r="AL5" s="77">
        <v>0</v>
      </c>
      <c r="AM5" s="236">
        <f>U5</f>
        <v>0</v>
      </c>
      <c r="AN5" s="236"/>
      <c r="AO5" s="236"/>
      <c r="AP5" s="77" t="b">
        <v>0</v>
      </c>
      <c r="AQ5" s="236">
        <f>Y5</f>
        <v>0</v>
      </c>
      <c r="AR5" s="236">
        <f>Z5</f>
        <v>0</v>
      </c>
      <c r="AS5" s="236"/>
      <c r="AT5" s="283">
        <f>AB5</f>
        <v>0</v>
      </c>
      <c r="AU5" s="283">
        <f t="shared" ref="AU5:AW5" si="3">AC5</f>
        <v>0</v>
      </c>
      <c r="AV5" s="283">
        <f t="shared" si="3"/>
        <v>0</v>
      </c>
      <c r="AW5" s="283">
        <f t="shared" si="3"/>
        <v>0</v>
      </c>
      <c r="AX5" s="86"/>
      <c r="AY5" s="90"/>
      <c r="AZ5" s="90"/>
      <c r="BA5" s="90"/>
      <c r="BB5" s="90"/>
      <c r="BC5" s="90"/>
      <c r="BD5" s="90"/>
      <c r="BE5" s="90"/>
      <c r="BF5" s="91"/>
      <c r="BH5" s="284">
        <f>IF(G5&lt;=1966,H5)</f>
        <v>0</v>
      </c>
      <c r="BI5" s="285" t="b">
        <f>IF(O5="kompletna",BH5,IF(O5="częściowa",0.5*BH5))</f>
        <v>0</v>
      </c>
      <c r="BJ5" s="285" t="b">
        <f>IF(G5&gt;1966,IF(G5&lt;=1985,H5))</f>
        <v>0</v>
      </c>
      <c r="BK5" s="285" t="b">
        <f>IF(O5="kompletna",BJ5,IF(O5="częściowa",0.5*BJ5))</f>
        <v>0</v>
      </c>
      <c r="BL5" s="285" t="b">
        <f>IF(G5&gt;1985,IF(G5&lt;=1992,H5))</f>
        <v>0</v>
      </c>
      <c r="BM5" s="285" t="b">
        <f>IF(O5="kompletna",BL5,IF(O5="częściowa",0.5*BL5))</f>
        <v>0</v>
      </c>
      <c r="BN5" s="285" t="b">
        <f>IF(G5&gt;1992,IF(G5&lt;=1996,H5))</f>
        <v>0</v>
      </c>
      <c r="BO5" s="285" t="b">
        <f>IF(O5="kompletna",BN5,IF(O5="częściowa",0.5*BN5))</f>
        <v>0</v>
      </c>
      <c r="BP5" s="285" t="b">
        <f>IF(G5&gt;1996,IF(G5&lt;=2014,H5))</f>
        <v>0</v>
      </c>
      <c r="BQ5" s="286" t="b">
        <f>IF(O5="kompletna",BP5,IF(O5="częściowa",0.5*BP5))</f>
        <v>0</v>
      </c>
      <c r="BR5" s="287" t="b">
        <f>IF(P5="węgiel",X5)</f>
        <v>0</v>
      </c>
      <c r="BS5" s="287" t="b">
        <f t="shared" ref="BS5" si="4">IF(P5="gaz",U5)</f>
        <v>0</v>
      </c>
      <c r="BT5" s="287" t="b">
        <f>IF(P5="drewno",X5)</f>
        <v>0</v>
      </c>
      <c r="BU5" s="287" t="b">
        <f>IF(P5="pelet",X5)</f>
        <v>0</v>
      </c>
      <c r="BV5" s="287" t="b">
        <f>IF(P5="olej opałowy",X5)</f>
        <v>0</v>
      </c>
      <c r="BW5" s="287" t="b">
        <f t="shared" ref="BW5" si="5">IF(P5="prąd",U5)</f>
        <v>0</v>
      </c>
      <c r="BX5" s="287" t="b">
        <f>IF(P5="sieć ciepłownicza",X5)</f>
        <v>0</v>
      </c>
      <c r="BY5" s="288" t="b">
        <f>IF(T5="węgiel",W5)</f>
        <v>0</v>
      </c>
      <c r="BZ5" s="289" t="b">
        <f>IF(T5="gaz",W5)</f>
        <v>0</v>
      </c>
      <c r="CA5" s="289" t="b">
        <f>IF(T5="drewno",W5)</f>
        <v>0</v>
      </c>
      <c r="CB5" s="289" t="b">
        <f>IF(T5="pelet",W5)</f>
        <v>0</v>
      </c>
      <c r="CC5" s="289" t="b">
        <f>IF(T5="olej opałowy",W5)</f>
        <v>0</v>
      </c>
      <c r="CD5" s="290" t="b">
        <f>IF(T5="prąd",W5)</f>
        <v>0</v>
      </c>
      <c r="CE5" s="289" t="b">
        <f>IF(P5="sieć ciepłownicza",W5)</f>
        <v>0</v>
      </c>
      <c r="CF5" s="288" t="b">
        <f>IF(P5="węgiel",U5)</f>
        <v>0</v>
      </c>
      <c r="CG5" s="289" t="b">
        <f>IF(P5="sieć ciepłownicza",U5)</f>
        <v>0</v>
      </c>
      <c r="CH5" s="289" t="b">
        <f>IF(P5="gaz",U5)</f>
        <v>0</v>
      </c>
      <c r="CI5" s="289" t="b">
        <f>IF(P5="drewno",U5)</f>
        <v>0</v>
      </c>
      <c r="CJ5" s="289" t="b">
        <f>IF(P5="pelet",U5)</f>
        <v>0</v>
      </c>
      <c r="CK5" s="289" t="b">
        <f>IF(P5="olej opałowy",U5)</f>
        <v>0</v>
      </c>
      <c r="CL5" s="290" t="b">
        <f>IF(P5="prąd",AO5)</f>
        <v>0</v>
      </c>
    </row>
    <row r="6" spans="1:91" ht="8.4">
      <c r="A6" s="279">
        <v>2</v>
      </c>
      <c r="B6" s="87"/>
      <c r="C6" s="87" t="b">
        <f t="shared" ref="C6:C7" si="6">IF(ISTEXT(D6),1)</f>
        <v>0</v>
      </c>
      <c r="D6" s="280"/>
      <c r="E6" s="235"/>
      <c r="F6" s="280"/>
      <c r="G6" s="88"/>
      <c r="H6" s="88"/>
      <c r="I6" s="86"/>
      <c r="J6" s="86"/>
      <c r="K6" s="88"/>
      <c r="L6" s="88"/>
      <c r="M6" s="88"/>
      <c r="N6" s="88">
        <v>290</v>
      </c>
      <c r="O6" s="281"/>
      <c r="P6" s="300"/>
      <c r="Q6" s="88"/>
      <c r="R6" s="88"/>
      <c r="S6" s="250"/>
      <c r="T6" s="300"/>
      <c r="U6" s="282">
        <f t="shared" si="2"/>
        <v>0</v>
      </c>
      <c r="V6" s="236">
        <v>0</v>
      </c>
      <c r="W6" s="236">
        <f>G6*'Założenia,wskaźniki, listy'!$L$15</f>
        <v>0</v>
      </c>
      <c r="X6" s="236"/>
      <c r="Y6" s="89">
        <f>IF(P6="węgiel",U6*'Założenia,wskaźniki, listy'!$C$44,IF(P6="gaz",U6*'Założenia,wskaźniki, listy'!$D$44,IF(P6="drewno",U6*'Założenia,wskaźniki, listy'!$E$44,IF(P6="pelet",U6*'Założenia,wskaźniki, listy'!$F$44,IF(P6="olej opałowy",U6*'Założenia,wskaźniki, listy'!$G$44,IF(P6="sieć ciepłownicza",0,IF(P6="prąd",0,0)))))))</f>
        <v>0</v>
      </c>
      <c r="Z6" s="77">
        <f>IF(P6="węgiel",U6*'Założenia,wskaźniki, listy'!$C$45,IF(P6="gaz",U6*'Założenia,wskaźniki, listy'!$D$45,IF(P6="drewno",U6*'Założenia,wskaźniki, listy'!$E$45,IF(P6="pelet",U6*'Założenia,wskaźniki, listy'!$F$45,IF(P6="olej opałowy",U6*'Założenia,wskaźniki, listy'!$G$45,IF(P6="sieć ciepłownicza",0,IF(P6="prąd",0,0)))))))</f>
        <v>0</v>
      </c>
      <c r="AA6" s="77">
        <f>U6*0.09</f>
        <v>0</v>
      </c>
      <c r="AB6" s="77">
        <f>IF(P6="węgiel",U6*'Założenia,wskaźniki, listy'!$C$47,IF(P6="gaz",U6*'Założenia,wskaźniki, listy'!$D$47,IF(P6="drewno",U6*'Założenia,wskaźniki, listy'!$E$47,IF(P6="pelet",U6*'Założenia,wskaźniki, listy'!$F$47,IF(P6="olej opałowy",U6*'Założenia,wskaźniki, listy'!$G$47,IF(P6="sieć ciepłownicza",0,IF(P6="prąd",0,0)))))))</f>
        <v>0</v>
      </c>
      <c r="AC6" s="89">
        <f>IF(P6="węgiel",U6*'Założenia,wskaźniki, listy'!$C$48, IF(P6="gaz",U6*'Założenia,wskaźniki, listy'!$D$48,IF(P6="drewno",U6*'Założenia,wskaźniki, listy'!$E$48,IF(P6="pelet",U6*'Założenia,wskaźniki, listy'!$F$48,IF(P6="olej opałowy",U6*'Założenia,wskaźniki, listy'!$G$48,IF(P6="sieć ciepłownicza",0,IF(P6="prąd",0,0)))))))</f>
        <v>0</v>
      </c>
      <c r="AD6" s="77">
        <f>IF(P6="węgiel",U6*'Założenia,wskaźniki, listy'!$C$49, IF(P6="gaz",U6*'Założenia,wskaźniki, listy'!$D$49, IF(P6="drewno",U6*'Założenia,wskaźniki, listy'!$E$49,IF(P6="pelet",U6*'Założenia,wskaźniki, listy'!$F$49,IF(P6="olej opałowy",U6*'Założenia,wskaźniki, listy'!$G$49,IF(P6="sieć ciepłownicza",0,IF(P6="prąd",0,0)))))))</f>
        <v>0</v>
      </c>
      <c r="AE6" s="77">
        <f>IF(P6="węgiel",U6*'Założenia,wskaźniki, listy'!$C$50,IF(P6="gaz",U6*'Założenia,wskaźniki, listy'!$D$50, IF(P6="drewno",U6*'Założenia,wskaźniki, listy'!$E$50,IF(P6="pelet",U6*'Założenia,wskaźniki, listy'!$F$50,IF(P6="pelet",U6*'Założenia,wskaźniki, listy'!$F$50,IF(P6="olej opałowy",U6*'Założenia,wskaźniki, listy'!$G$50,IF(P6="sieć ciepłownicza",0,IF(P6="prąd",0,0))))))))</f>
        <v>0</v>
      </c>
      <c r="AF6" s="77">
        <v>0</v>
      </c>
      <c r="AG6" s="77">
        <v>0</v>
      </c>
      <c r="AH6" s="77">
        <v>0</v>
      </c>
      <c r="AI6" s="77">
        <v>0</v>
      </c>
      <c r="AJ6" s="77">
        <v>0</v>
      </c>
      <c r="AK6" s="77">
        <v>0</v>
      </c>
      <c r="AL6" s="77">
        <v>0</v>
      </c>
      <c r="AM6" s="236">
        <f>U6</f>
        <v>0</v>
      </c>
      <c r="AN6" s="236"/>
      <c r="AO6" s="236"/>
      <c r="AP6" s="77" t="b">
        <v>0</v>
      </c>
      <c r="AQ6" s="236">
        <f t="shared" ref="AQ6:AQ8" si="7">Y6</f>
        <v>0</v>
      </c>
      <c r="AR6" s="236">
        <f t="shared" ref="AR6:AR8" si="8">Z6</f>
        <v>0</v>
      </c>
      <c r="AS6" s="236"/>
      <c r="AT6" s="283">
        <f t="shared" ref="AT6:AT8" si="9">AB6</f>
        <v>0</v>
      </c>
      <c r="AU6" s="283">
        <f t="shared" ref="AU6:AU8" si="10">AC6</f>
        <v>0</v>
      </c>
      <c r="AV6" s="283">
        <f t="shared" ref="AV6:AV8" si="11">AD6</f>
        <v>0</v>
      </c>
      <c r="AW6" s="283">
        <f t="shared" ref="AW6:AW8" si="12">AE6</f>
        <v>0</v>
      </c>
      <c r="AX6" s="86"/>
      <c r="AY6" s="90"/>
      <c r="AZ6" s="90"/>
      <c r="BA6" s="90"/>
      <c r="BB6" s="90"/>
      <c r="BC6" s="90"/>
      <c r="BD6" s="90"/>
      <c r="BE6" s="90"/>
      <c r="BF6" s="91"/>
      <c r="BH6" s="284">
        <f>IF(G6&lt;=1966,H6)</f>
        <v>0</v>
      </c>
      <c r="BI6" s="285" t="b">
        <f>IF(O6="kompletna",BH6,IF(O6="częściowa",0.5*BH6))</f>
        <v>0</v>
      </c>
      <c r="BJ6" s="285" t="b">
        <f>IF(G6&gt;1966,IF(G6&lt;=1985,H6))</f>
        <v>0</v>
      </c>
      <c r="BK6" s="285" t="b">
        <f>IF(O6="kompletna",BJ6,IF(O6="częściowa",0.5*BJ6))</f>
        <v>0</v>
      </c>
      <c r="BL6" s="285" t="b">
        <f>IF(G6&gt;1985,IF(G6&lt;=1992,H6))</f>
        <v>0</v>
      </c>
      <c r="BM6" s="285" t="b">
        <f>IF(O6="kompletna",BL6,IF(O6="częściowa",0.5*BL6))</f>
        <v>0</v>
      </c>
      <c r="BN6" s="285" t="b">
        <f>IF(G6&gt;1992,IF(G6&lt;=1996,H6))</f>
        <v>0</v>
      </c>
      <c r="BO6" s="285" t="b">
        <f>IF(O6="kompletna",BN6,IF(O6="częściowa",0.5*BN6))</f>
        <v>0</v>
      </c>
      <c r="BP6" s="285" t="b">
        <f>IF(G6&gt;1996,IF(G6&lt;=2014,H6))</f>
        <v>0</v>
      </c>
      <c r="BQ6" s="286" t="b">
        <f>IF(O6="kompletna",BP6,IF(O6="częściowa",0.5*BP6))</f>
        <v>0</v>
      </c>
      <c r="BR6" s="287" t="b">
        <f>IF(P6="węgiel",X6)</f>
        <v>0</v>
      </c>
      <c r="BS6" s="287" t="b">
        <f t="shared" ref="BS6:BS7" si="13">IF(P6="gaz",U6)</f>
        <v>0</v>
      </c>
      <c r="BT6" s="287" t="b">
        <f>IF(P6="drewno",X6)</f>
        <v>0</v>
      </c>
      <c r="BU6" s="287" t="b">
        <f>IF(P6="pelet",X6)</f>
        <v>0</v>
      </c>
      <c r="BV6" s="287" t="b">
        <f>IF(P6="olej opałowy",X6)</f>
        <v>0</v>
      </c>
      <c r="BW6" s="287" t="b">
        <f t="shared" ref="BW6:BW7" si="14">IF(P6="prąd",U6)</f>
        <v>0</v>
      </c>
      <c r="BX6" s="287" t="b">
        <f>IF(P6="sieć ciepłownicza",X6)</f>
        <v>0</v>
      </c>
      <c r="BY6" s="288" t="b">
        <f>IF(T6="węgiel",W6)</f>
        <v>0</v>
      </c>
      <c r="BZ6" s="289" t="b">
        <f>IF(T6="gaz",W6)</f>
        <v>0</v>
      </c>
      <c r="CA6" s="289" t="b">
        <f>IF(T6="drewno",W6)</f>
        <v>0</v>
      </c>
      <c r="CB6" s="289" t="b">
        <f>IF(T6="pelet",W6)</f>
        <v>0</v>
      </c>
      <c r="CC6" s="289" t="b">
        <f>IF(T6="olej opałowy",W6)</f>
        <v>0</v>
      </c>
      <c r="CD6" s="290" t="b">
        <f>IF(T6="prąd",W6)</f>
        <v>0</v>
      </c>
      <c r="CE6" s="289" t="b">
        <f>IF(P6="sieć ciepłownicza",W6)</f>
        <v>0</v>
      </c>
      <c r="CF6" s="288" t="b">
        <f>IF(P6="węgiel",U6)</f>
        <v>0</v>
      </c>
      <c r="CG6" s="289" t="b">
        <f>IF(P6="sieć ciepłownicza",U6)</f>
        <v>0</v>
      </c>
      <c r="CH6" s="289" t="b">
        <f>IF(P6="gaz",U6)</f>
        <v>0</v>
      </c>
      <c r="CI6" s="289" t="b">
        <f>IF(P6="drewno",U6)</f>
        <v>0</v>
      </c>
      <c r="CJ6" s="289" t="b">
        <f>IF(P6="pelet",U6)</f>
        <v>0</v>
      </c>
      <c r="CK6" s="289" t="b">
        <f>IF(P6="olej opałowy",U6)</f>
        <v>0</v>
      </c>
      <c r="CL6" s="290" t="b">
        <f>IF(P6="prąd",AO6)</f>
        <v>0</v>
      </c>
    </row>
    <row r="7" spans="1:91" ht="8.4">
      <c r="A7" s="279">
        <v>3</v>
      </c>
      <c r="B7" s="87"/>
      <c r="C7" s="87" t="b">
        <f t="shared" si="6"/>
        <v>0</v>
      </c>
      <c r="D7" s="280"/>
      <c r="E7" s="235"/>
      <c r="F7" s="280"/>
      <c r="G7" s="88"/>
      <c r="H7" s="88"/>
      <c r="I7" s="86"/>
      <c r="J7" s="86"/>
      <c r="K7" s="88"/>
      <c r="L7" s="88"/>
      <c r="M7" s="88"/>
      <c r="N7" s="88">
        <v>290</v>
      </c>
      <c r="O7" s="281"/>
      <c r="P7" s="375"/>
      <c r="Q7" s="88"/>
      <c r="R7" s="88"/>
      <c r="S7" s="250"/>
      <c r="T7" s="375"/>
      <c r="U7" s="282">
        <f t="shared" si="2"/>
        <v>0</v>
      </c>
      <c r="V7" s="236">
        <f>IF(O7="kompletna",N7*H7*0.0036*'Założenia,wskaźniki, listy'!$D$15,0)</f>
        <v>0</v>
      </c>
      <c r="W7" s="236">
        <f>G7*'Założenia,wskaźniki, listy'!$L$15</f>
        <v>0</v>
      </c>
      <c r="X7" s="236"/>
      <c r="Y7" s="89">
        <f>IF(P7="węgiel",U7*'Założenia,wskaźniki, listy'!$C$44,IF(P7="gaz",U7*'Założenia,wskaźniki, listy'!$D$44,IF(P7="drewno",U7*'Założenia,wskaźniki, listy'!$E$44,IF(P7="pelet",U7*'Założenia,wskaźniki, listy'!$F$44,IF(P7="olej opałowy",U7*'Założenia,wskaźniki, listy'!$G$44,IF(P7="sieć ciepłownicza",0,IF(P7="prąd",0,0)))))))</f>
        <v>0</v>
      </c>
      <c r="Z7" s="77">
        <f>IF(P7="węgiel",U7*'Założenia,wskaźniki, listy'!$C$45,IF(P7="gaz",U7*'Założenia,wskaźniki, listy'!$D$45,IF(P7="drewno",U7*'Założenia,wskaźniki, listy'!$E$45,IF(P7="pelet",U7*'Założenia,wskaźniki, listy'!$F$45,IF(P7="olej opałowy",U7*'Założenia,wskaźniki, listy'!$G$45,IF(P7="sieć ciepłownicza",0,IF(P7="prąd",0,0)))))))</f>
        <v>0</v>
      </c>
      <c r="AA7" s="77">
        <f>U7*0.09</f>
        <v>0</v>
      </c>
      <c r="AB7" s="77">
        <f>IF(P7="węgiel",U7*'Założenia,wskaźniki, listy'!$C$47,IF(P7="gaz",U7*'Założenia,wskaźniki, listy'!$D$47,IF(P7="drewno",U7*'Założenia,wskaźniki, listy'!$E$47,IF(P7="pelet",U7*'Założenia,wskaźniki, listy'!$F$47,IF(P7="olej opałowy",U7*'Założenia,wskaźniki, listy'!$G$47,IF(P7="sieć ciepłownicza",0,IF(P7="prąd",0,0)))))))</f>
        <v>0</v>
      </c>
      <c r="AC7" s="89">
        <f>IF(P7="węgiel",U7*'Założenia,wskaźniki, listy'!$C$48, IF(P7="gaz",U7*'Założenia,wskaźniki, listy'!$D$48,IF(P7="drewno",U7*'Założenia,wskaźniki, listy'!$E$48,IF(P7="pelet",U7*'Założenia,wskaźniki, listy'!$F$48,IF(P7="olej opałowy",U7*'Założenia,wskaźniki, listy'!$G$48,IF(P7="sieć ciepłownicza",0,IF(P7="prąd",0,0)))))))</f>
        <v>0</v>
      </c>
      <c r="AD7" s="77">
        <f>IF(P7="węgiel",U7*'Założenia,wskaźniki, listy'!$C$49, IF(P7="gaz",U7*'Założenia,wskaźniki, listy'!$D$49, IF(P7="drewno",U7*'Założenia,wskaźniki, listy'!$E$49,IF(P7="pelet",U7*'Założenia,wskaźniki, listy'!$F$49,IF(P7="olej opałowy",U7*'Założenia,wskaźniki, listy'!$G$49,IF(P7="sieć ciepłownicza",0,IF(P7="prąd",0,0)))))))</f>
        <v>0</v>
      </c>
      <c r="AE7" s="77">
        <f>IF(P7="węgiel",U7*'Założenia,wskaźniki, listy'!$C$50,IF(P7="gaz",U7*'Założenia,wskaźniki, listy'!$D$50, IF(P7="drewno",U7*'Założenia,wskaźniki, listy'!$E$50,IF(P7="pelet",U7*'Założenia,wskaźniki, listy'!$F$50,IF(P7="pelet",U7*'Założenia,wskaźniki, listy'!$F$50,IF(P7="olej opałowy",U7*'Założenia,wskaźniki, listy'!$G$50,IF(P7="sieć ciepłownicza",0,IF(P7="prąd",0,0))))))))</f>
        <v>0</v>
      </c>
      <c r="AF7" s="77">
        <v>0</v>
      </c>
      <c r="AG7" s="77">
        <v>0</v>
      </c>
      <c r="AH7" s="77">
        <v>0</v>
      </c>
      <c r="AI7" s="77">
        <v>0</v>
      </c>
      <c r="AJ7" s="77">
        <v>0</v>
      </c>
      <c r="AK7" s="77">
        <v>0</v>
      </c>
      <c r="AL7" s="77">
        <v>0</v>
      </c>
      <c r="AM7" s="236">
        <f>U7</f>
        <v>0</v>
      </c>
      <c r="AN7" s="236"/>
      <c r="AO7" s="236"/>
      <c r="AP7" s="77" t="b">
        <v>0</v>
      </c>
      <c r="AQ7" s="236">
        <f t="shared" ref="AQ7" si="15">Y7</f>
        <v>0</v>
      </c>
      <c r="AR7" s="236">
        <f t="shared" ref="AR7" si="16">Z7</f>
        <v>0</v>
      </c>
      <c r="AS7" s="236"/>
      <c r="AT7" s="283">
        <f t="shared" ref="AT7" si="17">AB7</f>
        <v>0</v>
      </c>
      <c r="AU7" s="283">
        <f t="shared" ref="AU7" si="18">AC7</f>
        <v>0</v>
      </c>
      <c r="AV7" s="283">
        <f t="shared" ref="AV7" si="19">AD7</f>
        <v>0</v>
      </c>
      <c r="AW7" s="283">
        <f t="shared" ref="AW7" si="20">AE7</f>
        <v>0</v>
      </c>
      <c r="AX7" s="86"/>
      <c r="AY7" s="90"/>
      <c r="AZ7" s="90"/>
      <c r="BA7" s="90"/>
      <c r="BB7" s="90"/>
      <c r="BC7" s="90"/>
      <c r="BD7" s="90"/>
      <c r="BE7" s="90"/>
      <c r="BF7" s="91"/>
      <c r="BH7" s="284">
        <f>IF(G7&lt;=1966,H7)</f>
        <v>0</v>
      </c>
      <c r="BI7" s="285" t="b">
        <f>IF(O7="kompletna",BH7,IF(O7="częściowa",0.5*BH7))</f>
        <v>0</v>
      </c>
      <c r="BJ7" s="285" t="b">
        <f>IF(G7&gt;1966,IF(G7&lt;=1985,H7))</f>
        <v>0</v>
      </c>
      <c r="BK7" s="285" t="b">
        <f>IF(O7="kompletna",BJ7,IF(O7="częściowa",0.5*BJ7))</f>
        <v>0</v>
      </c>
      <c r="BL7" s="285" t="b">
        <f>IF(G7&gt;1985,IF(G7&lt;=1992,H7))</f>
        <v>0</v>
      </c>
      <c r="BM7" s="285" t="b">
        <f>IF(O7="kompletna",BL7,IF(O7="częściowa",0.5*BL7))</f>
        <v>0</v>
      </c>
      <c r="BN7" s="285" t="b">
        <f>IF(G7&gt;1992,IF(G7&lt;=1996,H7))</f>
        <v>0</v>
      </c>
      <c r="BO7" s="285" t="b">
        <f>IF(O7="kompletna",BN7,IF(O7="częściowa",0.5*BN7))</f>
        <v>0</v>
      </c>
      <c r="BP7" s="285" t="b">
        <f>IF(G7&gt;1996,IF(G7&lt;=2014,H7))</f>
        <v>0</v>
      </c>
      <c r="BQ7" s="286" t="b">
        <f>IF(O7="kompletna",BP7,IF(O7="częściowa",0.5*BP7))</f>
        <v>0</v>
      </c>
      <c r="BR7" s="287" t="b">
        <f>IF(P7="węgiel",X7)</f>
        <v>0</v>
      </c>
      <c r="BS7" s="287" t="b">
        <f t="shared" si="13"/>
        <v>0</v>
      </c>
      <c r="BT7" s="287" t="b">
        <f>IF(P7="drewno",X7)</f>
        <v>0</v>
      </c>
      <c r="BU7" s="287" t="b">
        <f>IF(P7="pelet",X7)</f>
        <v>0</v>
      </c>
      <c r="BV7" s="287" t="b">
        <f>IF(P7="olej opałowy",X7)</f>
        <v>0</v>
      </c>
      <c r="BW7" s="287" t="b">
        <f t="shared" si="14"/>
        <v>0</v>
      </c>
      <c r="BX7" s="287" t="b">
        <f>IF(P7="sieć ciepłownicza",X7)</f>
        <v>0</v>
      </c>
      <c r="BY7" s="288" t="b">
        <f>IF(T7="węgiel",W7)</f>
        <v>0</v>
      </c>
      <c r="BZ7" s="289" t="b">
        <f>IF(T7="gaz",W7)</f>
        <v>0</v>
      </c>
      <c r="CA7" s="289" t="b">
        <f>IF(T7="drewno",W7)</f>
        <v>0</v>
      </c>
      <c r="CB7" s="289" t="b">
        <f>IF(T7="pelet",W7)</f>
        <v>0</v>
      </c>
      <c r="CC7" s="289" t="b">
        <f>IF(T7="olej opałowy",W7)</f>
        <v>0</v>
      </c>
      <c r="CD7" s="290" t="b">
        <f>IF(T7="prąd",W7)</f>
        <v>0</v>
      </c>
      <c r="CE7" s="289" t="b">
        <f>IF(P7="sieć ciepłownicza",W7)</f>
        <v>0</v>
      </c>
      <c r="CF7" s="288" t="b">
        <f>IF(P7="węgiel",U7)</f>
        <v>0</v>
      </c>
      <c r="CG7" s="289" t="b">
        <f>IF(P7="sieć ciepłownicza",U7)</f>
        <v>0</v>
      </c>
      <c r="CH7" s="289" t="b">
        <f>IF(P7="gaz",U7)</f>
        <v>0</v>
      </c>
      <c r="CI7" s="289" t="b">
        <f>IF(P7="drewno",U7)</f>
        <v>0</v>
      </c>
      <c r="CJ7" s="289" t="b">
        <f>IF(P7="pelet",U7)</f>
        <v>0</v>
      </c>
      <c r="CK7" s="289" t="b">
        <f>IF(P7="olej opałowy",U7)</f>
        <v>0</v>
      </c>
      <c r="CL7" s="290" t="b">
        <f>IF(P7="prąd",AO7)</f>
        <v>0</v>
      </c>
    </row>
    <row r="8" spans="1:91" ht="8.4">
      <c r="A8" s="279"/>
      <c r="B8" s="87"/>
      <c r="C8" s="87" t="b">
        <f t="shared" ref="C8" si="21">IF(ISTEXT(D8),1)</f>
        <v>0</v>
      </c>
      <c r="D8" s="280"/>
      <c r="E8" s="235"/>
      <c r="F8" s="280"/>
      <c r="G8" s="88"/>
      <c r="H8" s="88"/>
      <c r="I8" s="86"/>
      <c r="J8" s="86"/>
      <c r="K8" s="88"/>
      <c r="L8" s="88"/>
      <c r="M8" s="88"/>
      <c r="N8" s="88">
        <v>290</v>
      </c>
      <c r="O8" s="281"/>
      <c r="P8" s="300"/>
      <c r="Q8" s="88"/>
      <c r="R8" s="88"/>
      <c r="S8" s="250"/>
      <c r="T8" s="300"/>
      <c r="U8" s="282">
        <f t="shared" si="2"/>
        <v>0</v>
      </c>
      <c r="V8" s="236">
        <f>IF(O8="kompletna",N8*H8*0.0036*'Założenia,wskaźniki, listy'!$D$15,0)</f>
        <v>0</v>
      </c>
      <c r="W8" s="236">
        <f>G8*'Założenia,wskaźniki, listy'!$L$15</f>
        <v>0</v>
      </c>
      <c r="X8" s="236"/>
      <c r="Y8" s="89">
        <f>IF(P8="węgiel",U8*'Założenia,wskaźniki, listy'!$C$44,IF(P8="gaz",U8*'Założenia,wskaźniki, listy'!$D$44,IF(P8="drewno",U8*'Założenia,wskaźniki, listy'!$E$44,IF(P8="pelet",U8*'Założenia,wskaźniki, listy'!$F$44,IF(P8="olej opałowy",U8*'Założenia,wskaźniki, listy'!$G$44,IF(P8="sieć ciepłownicza",0,IF(P8="prąd",0,0)))))))</f>
        <v>0</v>
      </c>
      <c r="Z8" s="77">
        <f>IF(P8="węgiel",U8*'Założenia,wskaźniki, listy'!$C$45,IF(P8="gaz",U8*'Założenia,wskaźniki, listy'!$D$45,IF(P8="drewno",U8*'Założenia,wskaźniki, listy'!$E$45,IF(P8="pelet",U8*'Założenia,wskaźniki, listy'!$F$45,IF(P8="olej opałowy",U8*'Założenia,wskaźniki, listy'!$G$45,IF(P8="sieć ciepłownicza",0,IF(P8="prąd",0,0)))))))</f>
        <v>0</v>
      </c>
      <c r="AA8" s="77">
        <f>IF(P8="węgiel",P8*'Założenia,wskaźniki, listy'!$C$46,IF(P8="gaz",U8*'Założenia,wskaźniki, listy'!$D$46,IF(P8="drewno",U8*'Założenia,wskaźniki, listy'!$E$46,IF(P8="pelet",U8*'Założenia,wskaźniki, listy'!$F$46,IF(P8="olej opałowy",U8*'Założenia,wskaźniki, listy'!$G$46,IF(P8="sieć ciepłownicza",U8*'Założenia,wskaźniki, listy'!$H$46,IF(P8="prąd",0,0)))))))</f>
        <v>0</v>
      </c>
      <c r="AB8" s="77">
        <f>IF(P8="węgiel",U8*'Założenia,wskaźniki, listy'!$C$47,IF(P8="gaz",U8*'Założenia,wskaźniki, listy'!$D$47,IF(P8="drewno",U8*'Założenia,wskaźniki, listy'!$E$47,IF(P8="pelet",U8*'Założenia,wskaźniki, listy'!$F$47,IF(P8="olej opałowy",U8*'Założenia,wskaźniki, listy'!$G$47,IF(P8="sieć ciepłownicza",0,IF(P8="prąd",0,0)))))))</f>
        <v>0</v>
      </c>
      <c r="AC8" s="89">
        <f>IF(P8="węgiel",U8*'Założenia,wskaźniki, listy'!$C$48, IF(P8="gaz",U8*'Założenia,wskaźniki, listy'!$D$48,IF(P8="drewno",U8*'Założenia,wskaźniki, listy'!$E$48,IF(P8="pelet",U8*'Założenia,wskaźniki, listy'!$F$48,IF(P8="olej opałowy",U8*'Założenia,wskaźniki, listy'!$G$48,IF(P8="sieć ciepłownicza",0,IF(P8="prąd",0,0)))))))</f>
        <v>0</v>
      </c>
      <c r="AD8" s="77">
        <f>IF(P8="węgiel",U8*'Założenia,wskaźniki, listy'!$C$49, IF(P8="gaz",U8*'Założenia,wskaźniki, listy'!$D$49, IF(P8="drewno",U8*'Założenia,wskaźniki, listy'!$E$49,IF(P8="pelet",U8*'Założenia,wskaźniki, listy'!$F$49,IF(P8="olej opałowy",U8*'Założenia,wskaźniki, listy'!$G$49,IF(P8="sieć ciepłownicza",0,IF(P8="prąd",0,0)))))))</f>
        <v>0</v>
      </c>
      <c r="AE8" s="77">
        <f>IF(P8="węgiel",U8*'Założenia,wskaźniki, listy'!$C$50,IF(P8="gaz",U8*'Założenia,wskaźniki, listy'!$D$50, IF(P8="drewno",U8*'Założenia,wskaźniki, listy'!$E$50,IF(P8="pelet",U8*'Założenia,wskaźniki, listy'!$F$50,IF(P8="pelet",U8*'Założenia,wskaźniki, listy'!$F$50,IF(P8="olej opałowy",U8*'Założenia,wskaźniki, listy'!$G$50,IF(P8="sieć ciepłownicza",0,IF(P8="prąd",0,0))))))))</f>
        <v>0</v>
      </c>
      <c r="AF8" s="77">
        <v>0</v>
      </c>
      <c r="AG8" s="77">
        <v>0</v>
      </c>
      <c r="AH8" s="77">
        <v>0</v>
      </c>
      <c r="AI8" s="77">
        <v>0</v>
      </c>
      <c r="AJ8" s="77">
        <v>0</v>
      </c>
      <c r="AK8" s="77">
        <v>0</v>
      </c>
      <c r="AL8" s="77">
        <v>0</v>
      </c>
      <c r="AM8" s="236">
        <f>U8</f>
        <v>0</v>
      </c>
      <c r="AN8" s="236"/>
      <c r="AO8" s="236"/>
      <c r="AP8" s="77" t="b">
        <v>0</v>
      </c>
      <c r="AQ8" s="236">
        <f t="shared" si="7"/>
        <v>0</v>
      </c>
      <c r="AR8" s="236">
        <f t="shared" si="8"/>
        <v>0</v>
      </c>
      <c r="AS8" s="236"/>
      <c r="AT8" s="283">
        <f t="shared" si="9"/>
        <v>0</v>
      </c>
      <c r="AU8" s="283">
        <f t="shared" si="10"/>
        <v>0</v>
      </c>
      <c r="AV8" s="283">
        <f t="shared" si="11"/>
        <v>0</v>
      </c>
      <c r="AW8" s="283">
        <f t="shared" si="12"/>
        <v>0</v>
      </c>
      <c r="AX8" s="86"/>
      <c r="AY8" s="90"/>
      <c r="AZ8" s="90"/>
      <c r="BA8" s="90"/>
      <c r="BB8" s="90"/>
      <c r="BC8" s="90"/>
      <c r="BD8" s="90"/>
      <c r="BE8" s="90"/>
      <c r="BF8" s="91"/>
      <c r="BH8" s="284">
        <f>IF(G8&lt;=1966,H8)</f>
        <v>0</v>
      </c>
      <c r="BI8" s="285" t="b">
        <f>IF(O8="kompletna",BH8,IF(O8="częściowa",0.5*BH8))</f>
        <v>0</v>
      </c>
      <c r="BJ8" s="285" t="b">
        <f>IF(G8&gt;1966,IF(G8&lt;=1985,H8))</f>
        <v>0</v>
      </c>
      <c r="BK8" s="285" t="b">
        <f>IF(O8="kompletna",BJ8,IF(O8="częściowa",0.5*BJ8))</f>
        <v>0</v>
      </c>
      <c r="BL8" s="285" t="b">
        <f>IF(G8&gt;1985,IF(G8&lt;=1992,H8))</f>
        <v>0</v>
      </c>
      <c r="BM8" s="285" t="b">
        <f>IF(O8="kompletna",BL8,IF(O8="częściowa",0.5*BL8))</f>
        <v>0</v>
      </c>
      <c r="BN8" s="285" t="b">
        <f>IF(G8&gt;1992,IF(G8&lt;=1996,H8))</f>
        <v>0</v>
      </c>
      <c r="BO8" s="285" t="b">
        <f>IF(O8="kompletna",BN8,IF(O8="częściowa",0.5*BN8))</f>
        <v>0</v>
      </c>
      <c r="BP8" s="285" t="b">
        <f>IF(G8&gt;1996,IF(G8&lt;=2014,H8))</f>
        <v>0</v>
      </c>
      <c r="BQ8" s="286" t="b">
        <f>IF(O8="kompletna",BP8,IF(O8="częściowa",0.5*BP8))</f>
        <v>0</v>
      </c>
      <c r="BR8" s="287" t="b">
        <f>IF(P8="węgiel",X8)</f>
        <v>0</v>
      </c>
      <c r="BS8" s="287" t="b">
        <f t="shared" ref="BS8" si="22">IF(P8="gaz",U8)</f>
        <v>0</v>
      </c>
      <c r="BT8" s="287" t="b">
        <f>IF(P8="drewno",X8)</f>
        <v>0</v>
      </c>
      <c r="BU8" s="287" t="b">
        <f>IF(P8="pelet",X8)</f>
        <v>0</v>
      </c>
      <c r="BV8" s="287" t="b">
        <f>IF(P8="olej opałowy",X8)</f>
        <v>0</v>
      </c>
      <c r="BW8" s="287" t="b">
        <f t="shared" ref="BW8" si="23">IF(P8="prąd",U8)</f>
        <v>0</v>
      </c>
      <c r="BX8" s="287" t="b">
        <f>IF(P8="sieć ciepłownicza",X8)</f>
        <v>0</v>
      </c>
      <c r="BY8" s="288" t="b">
        <f>IF(T8="węgiel",W8)</f>
        <v>0</v>
      </c>
      <c r="BZ8" s="289" t="b">
        <f>IF(T8="gaz",W8)</f>
        <v>0</v>
      </c>
      <c r="CA8" s="289" t="b">
        <f>IF(T8="drewno",W8)</f>
        <v>0</v>
      </c>
      <c r="CB8" s="289" t="b">
        <f>IF(T8="pelet",W8)</f>
        <v>0</v>
      </c>
      <c r="CC8" s="289" t="b">
        <f>IF(T8="olej opałowy",W8)</f>
        <v>0</v>
      </c>
      <c r="CD8" s="290" t="b">
        <f>IF(T8="prąd",W8)</f>
        <v>0</v>
      </c>
      <c r="CE8" s="289" t="b">
        <f>IF(P8="sieć ciepłownicza",W8)</f>
        <v>0</v>
      </c>
      <c r="CF8" s="288" t="b">
        <f>IF(P8="węgiel",U8)</f>
        <v>0</v>
      </c>
      <c r="CG8" s="289" t="b">
        <f>IF(P8="sieć ciepłownicza",U8)</f>
        <v>0</v>
      </c>
      <c r="CH8" s="289" t="b">
        <f>IF(P8="gaz",U8)</f>
        <v>0</v>
      </c>
      <c r="CI8" s="289" t="b">
        <f>IF(P8="drewno",U8)</f>
        <v>0</v>
      </c>
      <c r="CJ8" s="289" t="b">
        <f>IF(P8="pelet",U8)</f>
        <v>0</v>
      </c>
      <c r="CK8" s="289" t="b">
        <f>IF(P8="olej opałowy",U8)</f>
        <v>0</v>
      </c>
      <c r="CL8" s="290" t="b">
        <f>IF(P8="prąd",AO8)</f>
        <v>0</v>
      </c>
    </row>
    <row r="9" spans="1:91" s="80" customFormat="1" ht="12.75" customHeight="1" thickBot="1">
      <c r="A9" s="1116" t="s">
        <v>308</v>
      </c>
      <c r="B9" s="1116"/>
      <c r="C9" s="1116"/>
      <c r="D9" s="1116"/>
      <c r="E9" s="1116"/>
      <c r="F9" s="1116"/>
      <c r="G9" s="1116"/>
      <c r="H9" s="1116"/>
      <c r="I9" s="1116"/>
      <c r="J9" s="1116"/>
      <c r="K9" s="1116"/>
      <c r="L9" s="1116"/>
      <c r="M9" s="1116"/>
      <c r="N9" s="1116"/>
      <c r="O9" s="1116"/>
      <c r="P9" s="1116"/>
      <c r="Q9" s="1116"/>
      <c r="R9" s="1116"/>
      <c r="S9" s="1116"/>
      <c r="T9" s="1116"/>
      <c r="U9" s="77">
        <f>SUM(U5:U8)</f>
        <v>0</v>
      </c>
      <c r="V9" s="77">
        <f t="shared" ref="V9:AM9" si="24">SUM(V8:V8)</f>
        <v>0</v>
      </c>
      <c r="W9" s="77">
        <f t="shared" si="24"/>
        <v>0</v>
      </c>
      <c r="X9" s="77">
        <f t="shared" si="24"/>
        <v>0</v>
      </c>
      <c r="Y9" s="77">
        <f>SUM(Y5:Y8)</f>
        <v>0</v>
      </c>
      <c r="Z9" s="77">
        <f t="shared" ref="Z9:AE9" si="25">SUM(Z5:Z8)</f>
        <v>0</v>
      </c>
      <c r="AA9" s="77">
        <f t="shared" si="25"/>
        <v>0</v>
      </c>
      <c r="AB9" s="77">
        <f t="shared" si="25"/>
        <v>0</v>
      </c>
      <c r="AC9" s="77">
        <f t="shared" si="25"/>
        <v>0</v>
      </c>
      <c r="AD9" s="77">
        <f t="shared" si="25"/>
        <v>0</v>
      </c>
      <c r="AE9" s="77">
        <f t="shared" si="25"/>
        <v>0</v>
      </c>
      <c r="AF9" s="77">
        <f t="shared" si="24"/>
        <v>0</v>
      </c>
      <c r="AG9" s="77">
        <f t="shared" si="24"/>
        <v>0</v>
      </c>
      <c r="AH9" s="77">
        <f t="shared" si="24"/>
        <v>0</v>
      </c>
      <c r="AI9" s="77">
        <f t="shared" si="24"/>
        <v>0</v>
      </c>
      <c r="AJ9" s="77">
        <f t="shared" si="24"/>
        <v>0</v>
      </c>
      <c r="AK9" s="77">
        <f t="shared" si="24"/>
        <v>0</v>
      </c>
      <c r="AL9" s="77">
        <f t="shared" si="24"/>
        <v>0</v>
      </c>
      <c r="AM9" s="77">
        <f t="shared" si="24"/>
        <v>0</v>
      </c>
      <c r="AN9" s="77"/>
      <c r="AO9" s="77">
        <f>SUM(AO5:AO8)</f>
        <v>0</v>
      </c>
      <c r="AP9" s="77">
        <f t="shared" ref="AP9" si="26">SUM(AP8:AP8)</f>
        <v>0</v>
      </c>
      <c r="AQ9" s="77">
        <f>SUM(AQ5:AQ8)</f>
        <v>0</v>
      </c>
      <c r="AR9" s="77">
        <f t="shared" ref="AR9:AW9" si="27">SUM(AR5:AR8)</f>
        <v>0</v>
      </c>
      <c r="AS9" s="77">
        <f t="shared" si="27"/>
        <v>0</v>
      </c>
      <c r="AT9" s="77">
        <f t="shared" si="27"/>
        <v>0</v>
      </c>
      <c r="AU9" s="77">
        <f t="shared" si="27"/>
        <v>0</v>
      </c>
      <c r="AV9" s="77">
        <f t="shared" si="27"/>
        <v>0</v>
      </c>
      <c r="AW9" s="77">
        <f t="shared" si="27"/>
        <v>0</v>
      </c>
      <c r="AX9" s="86"/>
      <c r="AY9" s="86"/>
      <c r="AZ9" s="86"/>
      <c r="BA9" s="86"/>
      <c r="BB9" s="86"/>
      <c r="BC9" s="86"/>
      <c r="BD9" s="86"/>
      <c r="BE9" s="86"/>
      <c r="BF9" s="355"/>
      <c r="BH9" s="291">
        <f t="shared" ref="BH9:CL9" si="28">SUM(BH8:BH8)</f>
        <v>0</v>
      </c>
      <c r="BI9" s="291">
        <f t="shared" si="28"/>
        <v>0</v>
      </c>
      <c r="BJ9" s="291">
        <f t="shared" si="28"/>
        <v>0</v>
      </c>
      <c r="BK9" s="291">
        <f t="shared" si="28"/>
        <v>0</v>
      </c>
      <c r="BL9" s="291">
        <f t="shared" si="28"/>
        <v>0</v>
      </c>
      <c r="BM9" s="291">
        <f t="shared" si="28"/>
        <v>0</v>
      </c>
      <c r="BN9" s="291">
        <f t="shared" si="28"/>
        <v>0</v>
      </c>
      <c r="BO9" s="291">
        <f t="shared" si="28"/>
        <v>0</v>
      </c>
      <c r="BP9" s="291">
        <f t="shared" si="28"/>
        <v>0</v>
      </c>
      <c r="BQ9" s="291">
        <f t="shared" si="28"/>
        <v>0</v>
      </c>
      <c r="BR9" s="291">
        <f t="shared" si="28"/>
        <v>0</v>
      </c>
      <c r="BS9" s="291">
        <f t="shared" si="28"/>
        <v>0</v>
      </c>
      <c r="BT9" s="291">
        <f t="shared" si="28"/>
        <v>0</v>
      </c>
      <c r="BU9" s="291">
        <f t="shared" si="28"/>
        <v>0</v>
      </c>
      <c r="BV9" s="291">
        <f t="shared" si="28"/>
        <v>0</v>
      </c>
      <c r="BW9" s="291">
        <f t="shared" si="28"/>
        <v>0</v>
      </c>
      <c r="BX9" s="291">
        <f t="shared" si="28"/>
        <v>0</v>
      </c>
      <c r="BY9" s="291">
        <f t="shared" si="28"/>
        <v>0</v>
      </c>
      <c r="BZ9" s="291">
        <f t="shared" si="28"/>
        <v>0</v>
      </c>
      <c r="CA9" s="291">
        <f t="shared" si="28"/>
        <v>0</v>
      </c>
      <c r="CB9" s="291">
        <f t="shared" si="28"/>
        <v>0</v>
      </c>
      <c r="CC9" s="291">
        <f t="shared" si="28"/>
        <v>0</v>
      </c>
      <c r="CD9" s="291">
        <f t="shared" si="28"/>
        <v>0</v>
      </c>
      <c r="CE9" s="291">
        <f t="shared" si="28"/>
        <v>0</v>
      </c>
      <c r="CF9" s="291">
        <f t="shared" si="28"/>
        <v>0</v>
      </c>
      <c r="CG9" s="291">
        <f t="shared" si="28"/>
        <v>0</v>
      </c>
      <c r="CH9" s="291">
        <f t="shared" si="28"/>
        <v>0</v>
      </c>
      <c r="CI9" s="291">
        <f t="shared" si="28"/>
        <v>0</v>
      </c>
      <c r="CJ9" s="291">
        <f t="shared" si="28"/>
        <v>0</v>
      </c>
      <c r="CK9" s="291">
        <f t="shared" si="28"/>
        <v>0</v>
      </c>
      <c r="CL9" s="291">
        <f t="shared" si="28"/>
        <v>0</v>
      </c>
      <c r="CM9" s="292">
        <f>SUM(CF9:CL9)</f>
        <v>0</v>
      </c>
    </row>
    <row r="10" spans="1:91" ht="17.25" customHeight="1">
      <c r="AM10" s="85"/>
      <c r="AQ10" s="356">
        <f>AQ9</f>
        <v>0</v>
      </c>
      <c r="AR10" s="356">
        <f t="shared" ref="AR10:AW10" si="29">AR9</f>
        <v>0</v>
      </c>
      <c r="AS10" s="356">
        <f>AS9/100</f>
        <v>0</v>
      </c>
      <c r="AT10" s="356">
        <f>AT9*1000</f>
        <v>0</v>
      </c>
      <c r="AU10" s="356">
        <f t="shared" si="29"/>
        <v>0</v>
      </c>
      <c r="AV10" s="356">
        <f t="shared" si="29"/>
        <v>0</v>
      </c>
      <c r="AW10" s="356">
        <f t="shared" si="29"/>
        <v>0</v>
      </c>
      <c r="BH10" s="105" t="e">
        <f>BH9/$F$372</f>
        <v>#DIV/0!</v>
      </c>
      <c r="BI10" s="105" t="e">
        <f>BI9/BH9</f>
        <v>#DIV/0!</v>
      </c>
      <c r="BJ10" s="105" t="e">
        <f>BJ9/$F$372</f>
        <v>#DIV/0!</v>
      </c>
      <c r="BK10" s="105" t="e">
        <f>BK9/BJ9</f>
        <v>#DIV/0!</v>
      </c>
      <c r="BL10" s="105" t="e">
        <f>BL9/$F$372</f>
        <v>#DIV/0!</v>
      </c>
      <c r="BM10" s="105" t="e">
        <f>BM9/BL9</f>
        <v>#DIV/0!</v>
      </c>
      <c r="BN10" s="105" t="e">
        <f>BN9/$F$372</f>
        <v>#DIV/0!</v>
      </c>
      <c r="BO10" s="105" t="e">
        <f>BO9/BN9</f>
        <v>#DIV/0!</v>
      </c>
      <c r="BP10" s="105" t="e">
        <f>BP9/$F$372</f>
        <v>#DIV/0!</v>
      </c>
      <c r="BQ10" s="105" t="e">
        <f>BQ9/BP9</f>
        <v>#DIV/0!</v>
      </c>
      <c r="BR10" s="293"/>
      <c r="BS10" s="293"/>
      <c r="BT10" s="293"/>
      <c r="BU10" s="293"/>
      <c r="BV10" s="293"/>
      <c r="BW10" s="293"/>
      <c r="BX10" s="293"/>
      <c r="BY10" s="275"/>
      <c r="BZ10" s="275"/>
      <c r="CA10" s="275"/>
      <c r="CB10" s="275"/>
      <c r="CC10" s="275"/>
      <c r="CD10" s="275"/>
      <c r="CE10" s="275"/>
      <c r="CF10" s="79"/>
      <c r="CH10" s="79"/>
    </row>
    <row r="11" spans="1:91" ht="6.6">
      <c r="CF11" s="79"/>
      <c r="CH11" s="79"/>
    </row>
    <row r="12" spans="1:91" ht="6.6">
      <c r="CF12" s="79"/>
      <c r="CH12" s="79"/>
    </row>
    <row r="13" spans="1:91" ht="8.4">
      <c r="AV13" s="444"/>
      <c r="BH13" s="1117" t="s">
        <v>124</v>
      </c>
      <c r="BI13" s="1118"/>
      <c r="BJ13" s="1119"/>
      <c r="BK13" s="294" t="s">
        <v>309</v>
      </c>
      <c r="BL13" s="103"/>
      <c r="BM13" s="110"/>
      <c r="BN13" s="103" t="s">
        <v>126</v>
      </c>
      <c r="BO13" s="103"/>
      <c r="BP13" s="103"/>
      <c r="BQ13" s="103" t="s">
        <v>127</v>
      </c>
      <c r="BR13" s="103" t="s">
        <v>278</v>
      </c>
      <c r="BS13" s="103"/>
      <c r="CF13" s="79"/>
      <c r="CH13" s="79"/>
    </row>
    <row r="14" spans="1:91" ht="8.4">
      <c r="AV14" s="444"/>
      <c r="BH14" s="97" t="s">
        <v>8</v>
      </c>
      <c r="BI14" s="238">
        <f>CF9</f>
        <v>0</v>
      </c>
      <c r="BJ14" s="237">
        <f>BI14/$BI$22</f>
        <v>0</v>
      </c>
      <c r="BK14" s="295">
        <f>CF9</f>
        <v>0</v>
      </c>
      <c r="BL14" s="103"/>
      <c r="BM14" s="110"/>
      <c r="BN14" s="98" t="s">
        <v>114</v>
      </c>
      <c r="BO14" s="163">
        <f>BH9</f>
        <v>0</v>
      </c>
      <c r="BP14" s="163" t="e">
        <f>BO14/#REF!</f>
        <v>#REF!</v>
      </c>
      <c r="BQ14" s="106" t="e">
        <f>BI10</f>
        <v>#DIV/0!</v>
      </c>
      <c r="BR14" s="164" t="e">
        <f>BO14/#REF!</f>
        <v>#REF!</v>
      </c>
      <c r="BS14" s="102"/>
      <c r="CF14" s="79"/>
      <c r="CH14" s="79"/>
    </row>
    <row r="15" spans="1:91" ht="8.4">
      <c r="BH15" s="97" t="s">
        <v>310</v>
      </c>
      <c r="BI15" s="238">
        <f>CG9</f>
        <v>0</v>
      </c>
      <c r="BJ15" s="237">
        <f t="shared" ref="BJ15:BJ21" si="30">BI15/$BI$22</f>
        <v>0</v>
      </c>
      <c r="BK15" s="295">
        <v>0</v>
      </c>
      <c r="BL15" s="103"/>
      <c r="BM15" s="110"/>
      <c r="BN15" s="98"/>
      <c r="BO15" s="163"/>
      <c r="BP15" s="163"/>
      <c r="BQ15" s="106"/>
      <c r="BR15" s="164"/>
      <c r="BS15" s="102"/>
      <c r="CF15" s="79"/>
      <c r="CH15" s="79"/>
    </row>
    <row r="16" spans="1:91" ht="16.8">
      <c r="BH16" s="97" t="s">
        <v>116</v>
      </c>
      <c r="BI16" s="238">
        <f>CH9</f>
        <v>0</v>
      </c>
      <c r="BJ16" s="237">
        <f t="shared" si="30"/>
        <v>0</v>
      </c>
      <c r="BK16" s="295">
        <f>CH9</f>
        <v>0</v>
      </c>
      <c r="BL16" s="103"/>
      <c r="BM16" s="110"/>
      <c r="BN16" s="107" t="s">
        <v>38</v>
      </c>
      <c r="BO16" s="163">
        <f>BJ9</f>
        <v>0</v>
      </c>
      <c r="BP16" s="163" t="e">
        <f>BO16/#REF!</f>
        <v>#REF!</v>
      </c>
      <c r="BQ16" s="106" t="e">
        <f>BK10</f>
        <v>#DIV/0!</v>
      </c>
      <c r="BR16" s="164" t="e">
        <f>BO16/#REF!</f>
        <v>#REF!</v>
      </c>
      <c r="BS16" s="102"/>
      <c r="CF16" s="79"/>
      <c r="CH16" s="79"/>
    </row>
    <row r="17" spans="4:86" ht="16.8">
      <c r="Q17" s="296"/>
      <c r="BH17" s="97" t="s">
        <v>79</v>
      </c>
      <c r="BI17" s="238">
        <f>CI9</f>
        <v>0</v>
      </c>
      <c r="BJ17" s="237">
        <f t="shared" si="30"/>
        <v>0</v>
      </c>
      <c r="BK17" s="295">
        <f t="shared" ref="BK17:BK21" si="31">BJ17*$BK$22</f>
        <v>0</v>
      </c>
      <c r="BL17" s="103"/>
      <c r="BM17" s="110"/>
      <c r="BN17" s="107" t="s">
        <v>40</v>
      </c>
      <c r="BO17" s="163">
        <f>BL9</f>
        <v>0</v>
      </c>
      <c r="BP17" s="163" t="e">
        <f>BO17/#REF!</f>
        <v>#REF!</v>
      </c>
      <c r="BQ17" s="106" t="e">
        <f>BM10</f>
        <v>#DIV/0!</v>
      </c>
      <c r="BR17" s="164" t="e">
        <f>BO17/#REF!</f>
        <v>#REF!</v>
      </c>
      <c r="BS17" s="102"/>
      <c r="CF17" s="79"/>
      <c r="CH17" s="79"/>
    </row>
    <row r="18" spans="4:86" ht="16.8">
      <c r="BH18" s="97" t="s">
        <v>27</v>
      </c>
      <c r="BI18" s="100">
        <v>0</v>
      </c>
      <c r="BJ18" s="237">
        <f t="shared" si="30"/>
        <v>0</v>
      </c>
      <c r="BK18" s="295">
        <f t="shared" si="31"/>
        <v>0</v>
      </c>
      <c r="BL18" s="103"/>
      <c r="BM18" s="110"/>
      <c r="BN18" s="107" t="s">
        <v>42</v>
      </c>
      <c r="BO18" s="163">
        <f>BN9</f>
        <v>0</v>
      </c>
      <c r="BP18" s="163" t="e">
        <f>BO18/#REF!</f>
        <v>#REF!</v>
      </c>
      <c r="BQ18" s="106" t="e">
        <f>BO10</f>
        <v>#DIV/0!</v>
      </c>
      <c r="BR18" s="164" t="e">
        <f>BO18/#REF!</f>
        <v>#REF!</v>
      </c>
      <c r="BS18" s="102"/>
      <c r="CF18" s="79"/>
      <c r="CH18" s="79"/>
    </row>
    <row r="19" spans="4:86" ht="8.4">
      <c r="BH19" s="97" t="s">
        <v>117</v>
      </c>
      <c r="BI19" s="100">
        <v>0</v>
      </c>
      <c r="BJ19" s="237">
        <f t="shared" si="30"/>
        <v>0</v>
      </c>
      <c r="BK19" s="295">
        <f t="shared" si="31"/>
        <v>0</v>
      </c>
      <c r="BL19" s="103"/>
      <c r="BM19" s="110"/>
      <c r="BN19" s="107" t="s">
        <v>44</v>
      </c>
      <c r="BO19" s="163">
        <f>BP9</f>
        <v>0</v>
      </c>
      <c r="BP19" s="163" t="e">
        <f>BO19/#REF!</f>
        <v>#REF!</v>
      </c>
      <c r="BQ19" s="106" t="e">
        <f>BQ10</f>
        <v>#DIV/0!</v>
      </c>
      <c r="BR19" s="164" t="e">
        <f>BO19/#REF!</f>
        <v>#REF!</v>
      </c>
      <c r="BS19" s="102"/>
      <c r="CF19" s="79"/>
      <c r="CH19" s="79"/>
    </row>
    <row r="20" spans="4:86" ht="8.4">
      <c r="BH20" s="97" t="s">
        <v>29</v>
      </c>
      <c r="BI20" s="238">
        <f>AO9*3.6</f>
        <v>0</v>
      </c>
      <c r="BJ20" s="237">
        <f t="shared" si="30"/>
        <v>0</v>
      </c>
      <c r="BK20" s="295">
        <f t="shared" si="31"/>
        <v>0</v>
      </c>
      <c r="BL20" s="103"/>
      <c r="BM20" s="110"/>
      <c r="BN20" s="99"/>
      <c r="BO20" s="165">
        <f>SUM(BO14:BO19)</f>
        <v>0</v>
      </c>
      <c r="BP20" s="103"/>
      <c r="BQ20" s="101"/>
      <c r="BR20" s="102"/>
      <c r="BS20" s="102"/>
      <c r="CF20" s="79"/>
      <c r="CH20" s="79"/>
    </row>
    <row r="21" spans="4:86" ht="8.4">
      <c r="BH21" s="97" t="s">
        <v>311</v>
      </c>
      <c r="BI21" s="100">
        <f>5*520/1000*3.6*2</f>
        <v>18.720000000000002</v>
      </c>
      <c r="BJ21" s="237">
        <f t="shared" si="30"/>
        <v>1</v>
      </c>
      <c r="BK21" s="295">
        <f t="shared" si="31"/>
        <v>0</v>
      </c>
      <c r="BL21" s="103"/>
      <c r="BM21" s="110"/>
      <c r="BN21" s="101"/>
      <c r="BO21" s="103"/>
      <c r="BP21" s="108">
        <f>1-BO20</f>
        <v>1</v>
      </c>
      <c r="BQ21" s="101"/>
      <c r="BR21" s="102"/>
      <c r="BS21" s="102"/>
      <c r="CF21" s="79"/>
      <c r="CH21" s="79"/>
    </row>
    <row r="22" spans="4:86" ht="8.4">
      <c r="BH22" s="100" t="s">
        <v>119</v>
      </c>
      <c r="BI22" s="238">
        <f>SUM(BI14:BI21)</f>
        <v>18.720000000000002</v>
      </c>
      <c r="BJ22" s="237">
        <f>SUM(BJ14:BJ21)</f>
        <v>1</v>
      </c>
      <c r="BK22" s="297">
        <f>U9</f>
        <v>0</v>
      </c>
      <c r="BL22" s="103"/>
      <c r="BM22" s="110"/>
      <c r="BN22" s="99"/>
      <c r="BO22" s="103"/>
      <c r="BP22" s="103"/>
      <c r="BQ22" s="101"/>
      <c r="BR22" s="102"/>
      <c r="BS22" s="102"/>
      <c r="CF22" s="79"/>
      <c r="CH22" s="79"/>
    </row>
    <row r="23" spans="4:86" ht="6.6">
      <c r="CF23" s="79"/>
      <c r="CH23" s="79"/>
    </row>
    <row r="24" spans="4:86" ht="6.6">
      <c r="CF24" s="79"/>
      <c r="CH24" s="79"/>
    </row>
    <row r="25" spans="4:86" ht="6.6">
      <c r="CF25" s="79"/>
      <c r="CH25" s="79"/>
    </row>
    <row r="26" spans="4:86" ht="6.6">
      <c r="CF26" s="79"/>
      <c r="CH26" s="79"/>
    </row>
    <row r="27" spans="4:86" ht="6.6">
      <c r="CF27" s="79"/>
      <c r="CH27" s="79"/>
    </row>
    <row r="28" spans="4:86" ht="6.6">
      <c r="CF28" s="79"/>
      <c r="CH28" s="79"/>
    </row>
    <row r="29" spans="4:86" ht="6.6">
      <c r="CF29" s="79"/>
      <c r="CH29" s="79"/>
    </row>
    <row r="30" spans="4:86" ht="6.6">
      <c r="CF30" s="79"/>
      <c r="CH30" s="79"/>
    </row>
    <row r="31" spans="4:86" ht="6.6">
      <c r="CF31" s="79"/>
      <c r="CH31" s="79"/>
    </row>
    <row r="32" spans="4:86" ht="6.6">
      <c r="D32" s="81" t="s">
        <v>318</v>
      </c>
      <c r="CF32" s="79"/>
      <c r="CH32" s="79"/>
    </row>
    <row r="33" spans="11:86" ht="6.6">
      <c r="CF33" s="79"/>
      <c r="CH33" s="79"/>
    </row>
    <row r="34" spans="11:86" ht="6.6">
      <c r="CF34" s="79"/>
      <c r="CH34" s="79"/>
    </row>
    <row r="35" spans="11:86" ht="6.6">
      <c r="CF35" s="79"/>
      <c r="CH35" s="79"/>
    </row>
    <row r="36" spans="11:86" ht="6.6">
      <c r="CF36" s="79"/>
      <c r="CH36" s="79"/>
    </row>
    <row r="37" spans="11:86" ht="6.6">
      <c r="CF37" s="79"/>
      <c r="CH37" s="79"/>
    </row>
    <row r="38" spans="11:86" ht="6.6">
      <c r="CF38" s="79"/>
      <c r="CH38" s="79"/>
    </row>
    <row r="39" spans="11:86">
      <c r="K39" s="25" t="s">
        <v>190</v>
      </c>
      <c r="CF39" s="79"/>
      <c r="CH39" s="79"/>
    </row>
    <row r="40" spans="11:86" ht="6.6">
      <c r="CF40" s="79"/>
      <c r="CH40" s="79"/>
    </row>
    <row r="41" spans="11:86" ht="6.6">
      <c r="CF41" s="79"/>
      <c r="CH41" s="79"/>
    </row>
    <row r="42" spans="11:86" ht="6.6">
      <c r="CF42" s="79"/>
      <c r="CH42" s="79"/>
    </row>
    <row r="43" spans="11:86" ht="6.6">
      <c r="CF43" s="79"/>
      <c r="CH43" s="79"/>
    </row>
    <row r="44" spans="11:86" ht="6.6">
      <c r="CF44" s="79"/>
      <c r="CH44" s="79"/>
    </row>
    <row r="45" spans="11:86" ht="6.6">
      <c r="CF45" s="79"/>
      <c r="CH45" s="79"/>
    </row>
    <row r="46" spans="11:86" ht="6.6">
      <c r="CF46" s="79"/>
      <c r="CH46" s="79"/>
    </row>
    <row r="47" spans="11:86" ht="6.6">
      <c r="CF47" s="79"/>
      <c r="CH47" s="79"/>
    </row>
    <row r="48" spans="11:86" ht="6.6">
      <c r="CF48" s="79"/>
      <c r="CH48" s="79"/>
    </row>
    <row r="49" spans="84:86" ht="6.6">
      <c r="CF49" s="79"/>
      <c r="CH49" s="79"/>
    </row>
    <row r="50" spans="84:86" ht="6.6">
      <c r="CF50" s="79"/>
      <c r="CH50" s="79"/>
    </row>
    <row r="51" spans="84:86" ht="6.6">
      <c r="CF51" s="79"/>
      <c r="CH51" s="79"/>
    </row>
    <row r="52" spans="84:86" ht="6.6">
      <c r="CF52" s="79"/>
      <c r="CH52" s="79"/>
    </row>
    <row r="53" spans="84:86" ht="6.6">
      <c r="CF53" s="79"/>
      <c r="CH53" s="79"/>
    </row>
    <row r="54" spans="84:86" ht="6.6">
      <c r="CF54" s="79"/>
      <c r="CH54" s="79"/>
    </row>
    <row r="55" spans="84:86" ht="6.6">
      <c r="CF55" s="79"/>
      <c r="CH55" s="79"/>
    </row>
    <row r="56" spans="84:86" ht="6.6">
      <c r="CF56" s="79"/>
      <c r="CH56" s="79"/>
    </row>
    <row r="57" spans="84:86" ht="6.6">
      <c r="CF57" s="79"/>
      <c r="CH57" s="79"/>
    </row>
    <row r="58" spans="84:86" ht="6.6">
      <c r="CF58" s="79"/>
      <c r="CH58" s="79"/>
    </row>
    <row r="59" spans="84:86" ht="6.6">
      <c r="CF59" s="79"/>
      <c r="CH59" s="79"/>
    </row>
    <row r="60" spans="84:86" ht="6.6">
      <c r="CF60" s="79"/>
      <c r="CH60" s="79"/>
    </row>
    <row r="61" spans="84:86" ht="6.6">
      <c r="CF61" s="79"/>
      <c r="CH61" s="79"/>
    </row>
    <row r="62" spans="84:86" ht="6.6">
      <c r="CF62" s="79"/>
      <c r="CH62" s="79"/>
    </row>
    <row r="63" spans="84:86" ht="6.6">
      <c r="CF63" s="79"/>
      <c r="CH63" s="79"/>
    </row>
    <row r="64" spans="84:86" ht="6.6">
      <c r="CF64" s="79"/>
      <c r="CH64" s="79"/>
    </row>
    <row r="65" spans="84:86" ht="6.6">
      <c r="CF65" s="79"/>
      <c r="CH65" s="79"/>
    </row>
    <row r="66" spans="84:86" ht="6.6">
      <c r="CF66" s="79"/>
      <c r="CH66" s="79"/>
    </row>
    <row r="67" spans="84:86" ht="6.6">
      <c r="CF67" s="79"/>
      <c r="CH67" s="79"/>
    </row>
    <row r="68" spans="84:86" ht="6.6">
      <c r="CF68" s="79"/>
      <c r="CH68" s="79"/>
    </row>
    <row r="69" spans="84:86" ht="6.6">
      <c r="CF69" s="79"/>
      <c r="CH69" s="79"/>
    </row>
    <row r="70" spans="84:86" ht="6.6">
      <c r="CF70" s="79"/>
      <c r="CH70" s="79"/>
    </row>
    <row r="71" spans="84:86" ht="6.6">
      <c r="CF71" s="79"/>
      <c r="CH71" s="79"/>
    </row>
    <row r="72" spans="84:86" ht="6.6">
      <c r="CF72" s="79"/>
      <c r="CH72" s="79"/>
    </row>
    <row r="73" spans="84:86" ht="6.6">
      <c r="CF73" s="79"/>
      <c r="CH73" s="79"/>
    </row>
    <row r="74" spans="84:86" ht="6.6">
      <c r="CF74" s="79"/>
      <c r="CH74" s="79"/>
    </row>
    <row r="75" spans="84:86" ht="6.6">
      <c r="CF75" s="79"/>
      <c r="CH75" s="79"/>
    </row>
    <row r="76" spans="84:86" ht="6.6">
      <c r="CF76" s="79"/>
      <c r="CH76" s="79"/>
    </row>
    <row r="77" spans="84:86" ht="6.6">
      <c r="CF77" s="79"/>
      <c r="CH77" s="79"/>
    </row>
    <row r="78" spans="84:86" ht="6.6">
      <c r="CF78" s="79"/>
      <c r="CH78" s="79"/>
    </row>
    <row r="79" spans="84:86" ht="6.6">
      <c r="CF79" s="79"/>
      <c r="CH79" s="79"/>
    </row>
    <row r="80" spans="84:86" ht="6.6">
      <c r="CF80" s="79"/>
      <c r="CH80" s="79"/>
    </row>
    <row r="81" spans="84:86" ht="6.6">
      <c r="CF81" s="79"/>
      <c r="CH81" s="79"/>
    </row>
    <row r="82" spans="84:86" ht="6.6">
      <c r="CF82" s="79"/>
      <c r="CH82" s="79"/>
    </row>
    <row r="83" spans="84:86" ht="6.6">
      <c r="CF83" s="79"/>
      <c r="CH83" s="79"/>
    </row>
    <row r="84" spans="84:86" ht="6.6">
      <c r="CF84" s="79"/>
      <c r="CH84" s="79"/>
    </row>
    <row r="85" spans="84:86" ht="6.6">
      <c r="CF85" s="79"/>
      <c r="CH85" s="79"/>
    </row>
    <row r="86" spans="84:86" ht="6.6">
      <c r="CF86" s="79"/>
      <c r="CH86" s="79"/>
    </row>
    <row r="87" spans="84:86" ht="6.6">
      <c r="CF87" s="79"/>
      <c r="CH87" s="79"/>
    </row>
    <row r="88" spans="84:86" ht="6.6">
      <c r="CF88" s="79"/>
      <c r="CH88" s="79"/>
    </row>
    <row r="89" spans="84:86" ht="6.6">
      <c r="CF89" s="79"/>
      <c r="CH89" s="79"/>
    </row>
    <row r="90" spans="84:86" ht="6.6">
      <c r="CF90" s="79"/>
      <c r="CH90" s="79"/>
    </row>
    <row r="91" spans="84:86" ht="6.6">
      <c r="CF91" s="79"/>
      <c r="CH91" s="79"/>
    </row>
    <row r="92" spans="84:86" ht="6.6">
      <c r="CF92" s="79"/>
      <c r="CH92" s="79"/>
    </row>
    <row r="93" spans="84:86" ht="6.6">
      <c r="CF93" s="79"/>
      <c r="CH93" s="79"/>
    </row>
    <row r="94" spans="84:86" ht="6.6">
      <c r="CF94" s="79"/>
      <c r="CH94" s="79"/>
    </row>
    <row r="95" spans="84:86" ht="6.6">
      <c r="CF95" s="79"/>
      <c r="CH95" s="79"/>
    </row>
    <row r="96" spans="84:86" ht="6.6">
      <c r="CF96" s="79"/>
      <c r="CH96" s="79"/>
    </row>
    <row r="97" spans="84:86" ht="6.6">
      <c r="CF97" s="79"/>
      <c r="CH97" s="79"/>
    </row>
    <row r="98" spans="84:86" ht="6.6">
      <c r="CF98" s="79"/>
      <c r="CH98" s="79"/>
    </row>
    <row r="99" spans="84:86" ht="6.6">
      <c r="CF99" s="79"/>
      <c r="CH99" s="79"/>
    </row>
    <row r="100" spans="84:86" ht="6.6">
      <c r="CF100" s="79"/>
      <c r="CH100" s="79"/>
    </row>
    <row r="101" spans="84:86" ht="6.6">
      <c r="CF101" s="79"/>
      <c r="CH101" s="79"/>
    </row>
    <row r="102" spans="84:86" ht="6.6">
      <c r="CF102" s="79"/>
      <c r="CH102" s="79"/>
    </row>
    <row r="103" spans="84:86" ht="6.6">
      <c r="CF103" s="79"/>
      <c r="CH103" s="79"/>
    </row>
    <row r="104" spans="84:86" ht="6.6">
      <c r="CF104" s="79"/>
      <c r="CH104" s="79"/>
    </row>
    <row r="105" spans="84:86" ht="6.6">
      <c r="CF105" s="79"/>
      <c r="CH105" s="79"/>
    </row>
    <row r="106" spans="84:86" ht="6.6">
      <c r="CF106" s="79"/>
      <c r="CH106" s="79"/>
    </row>
    <row r="107" spans="84:86" ht="6.6">
      <c r="CF107" s="79"/>
      <c r="CH107" s="79"/>
    </row>
    <row r="108" spans="84:86" ht="6.6">
      <c r="CF108" s="79"/>
      <c r="CH108" s="79"/>
    </row>
    <row r="109" spans="84:86" ht="6.6">
      <c r="CF109" s="79"/>
      <c r="CH109" s="79"/>
    </row>
    <row r="110" spans="84:86" ht="6.6">
      <c r="CF110" s="79"/>
      <c r="CH110" s="79"/>
    </row>
    <row r="111" spans="84:86" ht="6.6">
      <c r="CF111" s="79"/>
      <c r="CH111" s="79"/>
    </row>
    <row r="112" spans="84:86" ht="6.6">
      <c r="CF112" s="79"/>
      <c r="CH112" s="79"/>
    </row>
    <row r="113" spans="84:86" ht="6.6">
      <c r="CF113" s="79"/>
      <c r="CH113" s="79"/>
    </row>
    <row r="114" spans="84:86" ht="6.6">
      <c r="CF114" s="79"/>
      <c r="CH114" s="79"/>
    </row>
    <row r="115" spans="84:86" ht="6.6">
      <c r="CF115" s="79"/>
      <c r="CH115" s="79"/>
    </row>
    <row r="116" spans="84:86" ht="6.6">
      <c r="CF116" s="79"/>
      <c r="CH116" s="79"/>
    </row>
    <row r="117" spans="84:86" ht="6.6">
      <c r="CF117" s="79"/>
      <c r="CH117" s="79"/>
    </row>
    <row r="118" spans="84:86" ht="6.6">
      <c r="CF118" s="79"/>
      <c r="CH118" s="79"/>
    </row>
    <row r="119" spans="84:86" ht="6.6">
      <c r="CF119" s="79"/>
      <c r="CH119" s="79"/>
    </row>
    <row r="120" spans="84:86" ht="6.6">
      <c r="CF120" s="79"/>
      <c r="CH120" s="79"/>
    </row>
    <row r="121" spans="84:86" ht="6.6">
      <c r="CF121" s="79"/>
      <c r="CH121" s="79"/>
    </row>
    <row r="122" spans="84:86" ht="6.6">
      <c r="CF122" s="79"/>
      <c r="CH122" s="79"/>
    </row>
    <row r="123" spans="84:86" ht="6.6">
      <c r="CF123" s="79"/>
      <c r="CH123" s="79"/>
    </row>
    <row r="124" spans="84:86" ht="6.6">
      <c r="CF124" s="79"/>
      <c r="CH124" s="79"/>
    </row>
    <row r="125" spans="84:86" ht="6.6">
      <c r="CF125" s="79"/>
      <c r="CH125" s="79"/>
    </row>
    <row r="126" spans="84:86" ht="6.6">
      <c r="CF126" s="79"/>
      <c r="CH126" s="79"/>
    </row>
    <row r="127" spans="84:86" ht="6.6">
      <c r="CF127" s="79"/>
      <c r="CH127" s="79"/>
    </row>
    <row r="128" spans="84:86" ht="6.6">
      <c r="CF128" s="79"/>
      <c r="CH128" s="79"/>
    </row>
    <row r="129" spans="84:86" ht="6.6">
      <c r="CF129" s="79"/>
      <c r="CH129" s="79"/>
    </row>
    <row r="130" spans="84:86" ht="6.6">
      <c r="CF130" s="79"/>
      <c r="CH130" s="79"/>
    </row>
    <row r="131" spans="84:86" ht="6.6">
      <c r="CF131" s="79"/>
      <c r="CH131" s="79"/>
    </row>
    <row r="132" spans="84:86" ht="6.6">
      <c r="CF132" s="79"/>
      <c r="CH132" s="79"/>
    </row>
    <row r="133" spans="84:86" ht="6.6">
      <c r="CF133" s="79"/>
      <c r="CH133" s="79"/>
    </row>
    <row r="134" spans="84:86" ht="6.6">
      <c r="CF134" s="79"/>
      <c r="CH134" s="79"/>
    </row>
    <row r="135" spans="84:86" ht="6.6">
      <c r="CF135" s="79"/>
      <c r="CH135" s="79"/>
    </row>
    <row r="136" spans="84:86" ht="6.6">
      <c r="CF136" s="79"/>
      <c r="CH136" s="79"/>
    </row>
    <row r="137" spans="84:86" ht="6.6">
      <c r="CF137" s="79"/>
      <c r="CH137" s="79"/>
    </row>
    <row r="138" spans="84:86" ht="6.6">
      <c r="CF138" s="79"/>
      <c r="CH138" s="79"/>
    </row>
    <row r="139" spans="84:86" ht="6.6">
      <c r="CF139" s="79"/>
      <c r="CH139" s="79"/>
    </row>
    <row r="140" spans="84:86" ht="6.6">
      <c r="CF140" s="79"/>
      <c r="CH140" s="79"/>
    </row>
    <row r="141" spans="84:86" ht="6.6">
      <c r="CF141" s="79"/>
      <c r="CH141" s="79"/>
    </row>
    <row r="142" spans="84:86" ht="6.6">
      <c r="CF142" s="79"/>
      <c r="CH142" s="79"/>
    </row>
    <row r="143" spans="84:86" ht="6.6">
      <c r="CF143" s="79"/>
      <c r="CH143" s="79"/>
    </row>
    <row r="144" spans="84:86" ht="6.6">
      <c r="CF144" s="79"/>
      <c r="CH144" s="79"/>
    </row>
    <row r="145" spans="84:86" ht="6.6">
      <c r="CF145" s="79"/>
      <c r="CH145" s="79"/>
    </row>
    <row r="146" spans="84:86" ht="6.6">
      <c r="CF146" s="79"/>
      <c r="CH146" s="79"/>
    </row>
    <row r="147" spans="84:86" ht="6.6">
      <c r="CF147" s="79"/>
      <c r="CH147" s="79"/>
    </row>
    <row r="148" spans="84:86" ht="6.6">
      <c r="CF148" s="79"/>
      <c r="CH148" s="79"/>
    </row>
    <row r="149" spans="84:86" ht="6.6">
      <c r="CF149" s="79"/>
      <c r="CH149" s="79"/>
    </row>
    <row r="150" spans="84:86" ht="6.6">
      <c r="CF150" s="79"/>
      <c r="CH150" s="79"/>
    </row>
    <row r="151" spans="84:86" ht="6.6">
      <c r="CF151" s="79"/>
      <c r="CH151" s="79"/>
    </row>
    <row r="152" spans="84:86" ht="6.6">
      <c r="CF152" s="79"/>
      <c r="CH152" s="79"/>
    </row>
    <row r="153" spans="84:86" ht="6.6">
      <c r="CF153" s="79"/>
      <c r="CH153" s="79"/>
    </row>
    <row r="154" spans="84:86" ht="6.6">
      <c r="CF154" s="79"/>
      <c r="CH154" s="79"/>
    </row>
    <row r="155" spans="84:86" ht="6.6">
      <c r="CF155" s="79"/>
      <c r="CH155" s="79"/>
    </row>
    <row r="156" spans="84:86" ht="6.6">
      <c r="CF156" s="79"/>
      <c r="CH156" s="79"/>
    </row>
    <row r="157" spans="84:86" ht="6.6">
      <c r="CF157" s="79"/>
      <c r="CH157" s="79"/>
    </row>
    <row r="158" spans="84:86" ht="6.6">
      <c r="CF158" s="79"/>
      <c r="CH158" s="79"/>
    </row>
    <row r="159" spans="84:86" ht="6.6">
      <c r="CF159" s="79"/>
      <c r="CH159" s="79"/>
    </row>
    <row r="160" spans="84:86" ht="6.6">
      <c r="CF160" s="79"/>
      <c r="CH160" s="79"/>
    </row>
    <row r="161" spans="84:86" ht="6.6">
      <c r="CF161" s="79"/>
      <c r="CH161" s="79"/>
    </row>
    <row r="162" spans="84:86" ht="6.6">
      <c r="CF162" s="79"/>
      <c r="CH162" s="79"/>
    </row>
    <row r="163" spans="84:86" ht="6.6">
      <c r="CF163" s="79"/>
      <c r="CH163" s="79"/>
    </row>
    <row r="164" spans="84:86" ht="6.6">
      <c r="CF164" s="79"/>
      <c r="CH164" s="79"/>
    </row>
    <row r="165" spans="84:86" ht="6.6">
      <c r="CF165" s="79"/>
      <c r="CH165" s="79"/>
    </row>
    <row r="166" spans="84:86" ht="6.6">
      <c r="CF166" s="79"/>
      <c r="CH166" s="79"/>
    </row>
    <row r="167" spans="84:86" ht="6.6">
      <c r="CF167" s="79"/>
      <c r="CH167" s="79"/>
    </row>
    <row r="168" spans="84:86" ht="6.6">
      <c r="CF168" s="79"/>
      <c r="CH168" s="79"/>
    </row>
    <row r="169" spans="84:86" ht="6.6">
      <c r="CF169" s="79"/>
      <c r="CH169" s="79"/>
    </row>
    <row r="170" spans="84:86" ht="6.6">
      <c r="CF170" s="79"/>
      <c r="CH170" s="79"/>
    </row>
    <row r="171" spans="84:86" ht="6.6">
      <c r="CF171" s="79"/>
      <c r="CH171" s="79"/>
    </row>
    <row r="172" spans="84:86" ht="6.6">
      <c r="CF172" s="79"/>
      <c r="CH172" s="79"/>
    </row>
    <row r="173" spans="84:86" ht="6.6">
      <c r="CF173" s="79"/>
      <c r="CH173" s="79"/>
    </row>
    <row r="174" spans="84:86" ht="6.6">
      <c r="CF174" s="79"/>
      <c r="CH174" s="79"/>
    </row>
    <row r="175" spans="84:86" ht="6.6">
      <c r="CF175" s="79"/>
      <c r="CH175" s="79"/>
    </row>
    <row r="176" spans="84:86" ht="6.6">
      <c r="CF176" s="79"/>
      <c r="CH176" s="79"/>
    </row>
    <row r="177" spans="84:86" ht="6.6">
      <c r="CF177" s="79"/>
      <c r="CH177" s="79"/>
    </row>
    <row r="178" spans="84:86" ht="6.6">
      <c r="CF178" s="79"/>
      <c r="CH178" s="79"/>
    </row>
  </sheetData>
  <mergeCells count="43">
    <mergeCell ref="A1:BF1"/>
    <mergeCell ref="BH1:BP1"/>
    <mergeCell ref="A2:A3"/>
    <mergeCell ref="B2:C3"/>
    <mergeCell ref="D2:D3"/>
    <mergeCell ref="E2:E3"/>
    <mergeCell ref="F2:F3"/>
    <mergeCell ref="G2:G3"/>
    <mergeCell ref="H2:H3"/>
    <mergeCell ref="I2:I3"/>
    <mergeCell ref="V2:V3"/>
    <mergeCell ref="J2:J3"/>
    <mergeCell ref="K2:K3"/>
    <mergeCell ref="L2:M3"/>
    <mergeCell ref="N2:N3"/>
    <mergeCell ref="O2:O3"/>
    <mergeCell ref="P2:P3"/>
    <mergeCell ref="Q2:Q3"/>
    <mergeCell ref="R2:R3"/>
    <mergeCell ref="S2:S3"/>
    <mergeCell ref="T2:T3"/>
    <mergeCell ref="U2:U3"/>
    <mergeCell ref="X2:X3"/>
    <mergeCell ref="Y2:AE2"/>
    <mergeCell ref="AF2:AL2"/>
    <mergeCell ref="AM2:AM3"/>
    <mergeCell ref="W2:W3"/>
    <mergeCell ref="AN2:AN3"/>
    <mergeCell ref="L4:M4"/>
    <mergeCell ref="A9:T9"/>
    <mergeCell ref="BH13:BJ13"/>
    <mergeCell ref="BA2:BA3"/>
    <mergeCell ref="BB2:BB3"/>
    <mergeCell ref="BC2:BC3"/>
    <mergeCell ref="BD2:BD3"/>
    <mergeCell ref="BE2:BE3"/>
    <mergeCell ref="BF2:BF3"/>
    <mergeCell ref="AO2:AO3"/>
    <mergeCell ref="AP2:AP3"/>
    <mergeCell ref="AQ2:AW2"/>
    <mergeCell ref="AX2:AX3"/>
    <mergeCell ref="AY2:AY3"/>
    <mergeCell ref="AZ2:AZ3"/>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A00-000000000000}">
          <x14:formula1>
            <xm:f>'\\PIGSINSPACE\Sucha Beskidzka\Miasto Jordanów\Baza Jordanów\Aktualna BAZA Miasto Jordanów\[1.BAZA DANYCH Gmina Miasto Jordanów.xlsx]Założenia,wskaźniki, listy'!#REF!</xm:f>
          </x14:formula1>
          <xm:sqref>E5:E8</xm:sqref>
        </x14:dataValidation>
        <x14:dataValidation type="list" allowBlank="1" showInputMessage="1" showErrorMessage="1" xr:uid="{00000000-0002-0000-0A00-000001000000}">
          <x14:formula1>
            <xm:f>'\\PIGSINSPACE\Sucha Beskidzka\Miasto Jordanów\Baza Jordanów\Aktualna BAZA Miasto Jordanów\[1.BAZA DANYCH Gmina Miasto Jordanów.xlsx]Założenia,wskaźniki, listy'!#REF!</xm:f>
          </x14:formula1>
          <xm:sqref>I5:K8 BC5:BC8 AX5:BA8 T5:T8 O5:O8</xm:sqref>
        </x14:dataValidation>
        <x14:dataValidation type="list" allowBlank="1" showInputMessage="1" showErrorMessage="1" xr:uid="{00000000-0002-0000-0A00-000006000000}">
          <x14:formula1>
            <xm:f>'Założenia,wskaźniki, listy'!$A$4:$A$10</xm:f>
          </x14:formula1>
          <xm:sqref>P5:P8</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AN29"/>
  <sheetViews>
    <sheetView topLeftCell="K1" zoomScale="85" zoomScaleNormal="85" zoomScaleSheetLayoutView="85" workbookViewId="0">
      <selection activeCell="AI25" sqref="AI25"/>
    </sheetView>
  </sheetViews>
  <sheetFormatPr defaultColWidth="9" defaultRowHeight="13.8"/>
  <cols>
    <col min="1" max="1" width="5.3984375" style="38" hidden="1" customWidth="1"/>
    <col min="2" max="2" width="13.19921875" style="25" hidden="1" customWidth="1"/>
    <col min="3" max="3" width="19.8984375" style="25" hidden="1" customWidth="1"/>
    <col min="4" max="4" width="4.8984375" hidden="1" customWidth="1"/>
    <col min="5" max="5" width="8.3984375" style="25" hidden="1" customWidth="1"/>
    <col min="6" max="6" width="7.19921875" style="25" hidden="1" customWidth="1"/>
    <col min="7" max="8" width="9.19921875" style="25" hidden="1" customWidth="1"/>
    <col min="9" max="9" width="11.8984375" style="25" hidden="1" customWidth="1"/>
    <col min="10" max="10" width="10.09765625" style="25" hidden="1" customWidth="1"/>
    <col min="11" max="11" width="16.3984375" style="25" customWidth="1"/>
    <col min="12" max="13" width="9.09765625" style="25" hidden="1" customWidth="1"/>
    <col min="14" max="14" width="8.3984375" style="25" hidden="1" customWidth="1"/>
    <col min="15" max="15" width="10" style="25" hidden="1" customWidth="1"/>
    <col min="16" max="16" width="11.8984375" style="25" bestFit="1" customWidth="1"/>
    <col min="17" max="17" width="15.5" style="25" customWidth="1"/>
    <col min="18" max="18" width="6.8984375" style="29" hidden="1" customWidth="1"/>
    <col min="19" max="19" width="7.19921875" style="29" hidden="1" customWidth="1"/>
    <col min="20" max="20" width="9" style="29" hidden="1" customWidth="1"/>
    <col min="21" max="23" width="6" style="29" hidden="1" customWidth="1"/>
    <col min="24" max="24" width="6" style="25" hidden="1" customWidth="1"/>
    <col min="25" max="25" width="8" style="25" bestFit="1" customWidth="1"/>
    <col min="26" max="26" width="8.09765625" style="25" customWidth="1"/>
    <col min="27" max="27" width="11.09765625" style="25" customWidth="1"/>
    <col min="28" max="28" width="8" style="25" bestFit="1" customWidth="1"/>
    <col min="29" max="30" width="10.09765625" style="25" bestFit="1" customWidth="1"/>
    <col min="31" max="31" width="11.19921875" style="25" bestFit="1" customWidth="1"/>
    <col min="32" max="32" width="9" style="25"/>
    <col min="33" max="33" width="15.69921875" style="25" customWidth="1"/>
    <col min="34" max="34" width="14.5" style="25" customWidth="1"/>
    <col min="35" max="16384" width="9" style="25"/>
  </cols>
  <sheetData>
    <row r="1" spans="1:40">
      <c r="K1" s="1063" t="s">
        <v>197</v>
      </c>
      <c r="L1" s="1063"/>
      <c r="M1" s="1063"/>
      <c r="N1" s="1063"/>
      <c r="O1" s="1063"/>
      <c r="P1" s="1063"/>
      <c r="Q1" s="1063"/>
      <c r="R1" s="1063"/>
      <c r="S1" s="1063"/>
      <c r="T1" s="1063"/>
      <c r="U1" s="1063"/>
      <c r="V1" s="1063"/>
      <c r="W1" s="1063"/>
      <c r="X1" s="1063"/>
      <c r="Y1" s="1063"/>
      <c r="Z1" s="1063"/>
      <c r="AA1" s="1063"/>
      <c r="AB1" s="1063"/>
      <c r="AC1" s="1063"/>
      <c r="AD1" s="1063"/>
      <c r="AE1" s="1063"/>
    </row>
    <row r="2" spans="1:40" ht="14.4" thickBot="1">
      <c r="K2" s="1026" t="s">
        <v>188</v>
      </c>
      <c r="L2" s="1026"/>
      <c r="M2" s="1026"/>
      <c r="N2" s="1026"/>
      <c r="O2" s="1026"/>
      <c r="P2" s="1026"/>
      <c r="Q2" s="1026"/>
      <c r="R2" s="111"/>
      <c r="S2" s="111"/>
      <c r="T2" s="111"/>
      <c r="U2" s="111"/>
      <c r="V2" s="111"/>
      <c r="W2" s="111"/>
      <c r="X2" s="111"/>
      <c r="Y2" s="1016" t="s">
        <v>187</v>
      </c>
      <c r="Z2" s="1016"/>
      <c r="AA2" s="1016"/>
      <c r="AB2" s="1016"/>
      <c r="AC2" s="1016"/>
      <c r="AD2" s="1016"/>
      <c r="AE2" s="1016"/>
    </row>
    <row r="3" spans="1:40" s="32" customFormat="1" ht="46.5" customHeight="1" thickTop="1">
      <c r="A3" s="1040" t="s">
        <v>4</v>
      </c>
      <c r="B3" s="1042" t="s">
        <v>20</v>
      </c>
      <c r="C3" s="1042" t="s">
        <v>101</v>
      </c>
      <c r="D3" s="1023" t="s">
        <v>102</v>
      </c>
      <c r="E3" s="1023" t="s">
        <v>24</v>
      </c>
      <c r="F3" s="1023" t="s">
        <v>105</v>
      </c>
      <c r="G3" s="1044" t="s">
        <v>5</v>
      </c>
      <c r="H3" s="1045"/>
      <c r="I3" s="1023" t="s">
        <v>34</v>
      </c>
      <c r="J3" s="1023" t="s">
        <v>77</v>
      </c>
      <c r="K3" s="1017" t="s">
        <v>25</v>
      </c>
      <c r="L3" s="1018" t="s">
        <v>78</v>
      </c>
      <c r="M3" s="1024" t="s">
        <v>118</v>
      </c>
      <c r="N3" s="1017" t="s">
        <v>47</v>
      </c>
      <c r="O3" s="1017" t="s">
        <v>96</v>
      </c>
      <c r="P3" s="1017" t="s">
        <v>185</v>
      </c>
      <c r="Q3" s="1018" t="s">
        <v>111</v>
      </c>
      <c r="R3" s="1016" t="s">
        <v>80</v>
      </c>
      <c r="S3" s="1016"/>
      <c r="T3" s="1016"/>
      <c r="U3" s="1016"/>
      <c r="V3" s="1016"/>
      <c r="W3" s="1016"/>
      <c r="X3" s="1016"/>
      <c r="Y3" s="1016"/>
      <c r="Z3" s="1016"/>
      <c r="AA3" s="1016"/>
      <c r="AB3" s="1016"/>
      <c r="AC3" s="1016"/>
      <c r="AD3" s="1016"/>
      <c r="AE3" s="1016"/>
      <c r="AG3" s="1128" t="s">
        <v>191</v>
      </c>
      <c r="AH3" s="1129"/>
      <c r="AI3" s="1130"/>
      <c r="AK3" s="25"/>
      <c r="AL3" s="25"/>
    </row>
    <row r="4" spans="1:40" s="32" customFormat="1">
      <c r="A4" s="1041"/>
      <c r="B4" s="1043"/>
      <c r="C4" s="1043"/>
      <c r="D4" s="1019"/>
      <c r="E4" s="1019"/>
      <c r="F4" s="1019"/>
      <c r="G4" s="93" t="s">
        <v>46</v>
      </c>
      <c r="H4" s="93"/>
      <c r="I4" s="1019"/>
      <c r="J4" s="1019"/>
      <c r="K4" s="1017"/>
      <c r="L4" s="1019"/>
      <c r="M4" s="1025"/>
      <c r="N4" s="1017"/>
      <c r="O4" s="1017"/>
      <c r="P4" s="1017"/>
      <c r="Q4" s="1019"/>
      <c r="R4" s="33" t="s">
        <v>66</v>
      </c>
      <c r="S4" s="33" t="s">
        <v>67</v>
      </c>
      <c r="T4" s="33" t="s">
        <v>68</v>
      </c>
      <c r="U4" s="33" t="s">
        <v>69</v>
      </c>
      <c r="V4" s="33" t="s">
        <v>70</v>
      </c>
      <c r="W4" s="33" t="s">
        <v>71</v>
      </c>
      <c r="X4" s="34" t="s">
        <v>72</v>
      </c>
      <c r="Y4" s="112" t="s">
        <v>66</v>
      </c>
      <c r="Z4" s="112" t="s">
        <v>67</v>
      </c>
      <c r="AA4" s="112" t="s">
        <v>135</v>
      </c>
      <c r="AB4" s="112" t="s">
        <v>69</v>
      </c>
      <c r="AC4" s="112" t="s">
        <v>70</v>
      </c>
      <c r="AD4" s="113" t="s">
        <v>71</v>
      </c>
      <c r="AE4" s="112" t="s">
        <v>72</v>
      </c>
      <c r="AG4" s="118" t="s">
        <v>194</v>
      </c>
      <c r="AH4" s="118" t="s">
        <v>192</v>
      </c>
      <c r="AI4" s="118" t="s">
        <v>193</v>
      </c>
      <c r="AK4" s="25"/>
      <c r="AL4" s="25"/>
    </row>
    <row r="5" spans="1:40" s="32" customFormat="1">
      <c r="A5" s="37">
        <v>1</v>
      </c>
      <c r="B5" s="35">
        <v>2</v>
      </c>
      <c r="C5" s="35">
        <v>3</v>
      </c>
      <c r="D5"/>
      <c r="E5" s="35">
        <v>4</v>
      </c>
      <c r="F5" s="35">
        <v>4</v>
      </c>
      <c r="G5" s="1034">
        <v>7</v>
      </c>
      <c r="H5" s="1035"/>
      <c r="I5" s="35">
        <v>5</v>
      </c>
      <c r="J5" s="35">
        <v>6</v>
      </c>
      <c r="K5" s="36">
        <v>1</v>
      </c>
      <c r="L5" s="36">
        <v>11</v>
      </c>
      <c r="M5" s="43">
        <v>11</v>
      </c>
      <c r="N5" s="36">
        <v>12</v>
      </c>
      <c r="O5" s="36">
        <v>13</v>
      </c>
      <c r="P5" s="36">
        <v>2</v>
      </c>
      <c r="Q5" s="36">
        <v>3</v>
      </c>
      <c r="R5" s="36">
        <f>Q5+1</f>
        <v>4</v>
      </c>
      <c r="S5" s="36">
        <f>R5+1</f>
        <v>5</v>
      </c>
      <c r="T5" s="36">
        <f>S5+1</f>
        <v>6</v>
      </c>
      <c r="U5" s="36">
        <f>T5+1</f>
        <v>7</v>
      </c>
      <c r="V5" s="36">
        <f>U5+1</f>
        <v>8</v>
      </c>
      <c r="W5" s="36">
        <v>20</v>
      </c>
      <c r="X5" s="36">
        <v>21</v>
      </c>
      <c r="Y5" s="36">
        <f t="shared" ref="Y5:AD5" si="0">Q5+1</f>
        <v>4</v>
      </c>
      <c r="Z5" s="36">
        <f t="shared" si="0"/>
        <v>5</v>
      </c>
      <c r="AA5" s="36">
        <f t="shared" si="0"/>
        <v>6</v>
      </c>
      <c r="AB5" s="36">
        <f t="shared" si="0"/>
        <v>7</v>
      </c>
      <c r="AC5" s="36">
        <f t="shared" si="0"/>
        <v>8</v>
      </c>
      <c r="AD5" s="36">
        <f t="shared" si="0"/>
        <v>9</v>
      </c>
      <c r="AE5" s="36">
        <v>10</v>
      </c>
      <c r="AG5" s="40" t="s">
        <v>8</v>
      </c>
      <c r="AH5" s="51"/>
      <c r="AI5" s="117"/>
      <c r="AK5" s="25"/>
      <c r="AL5" s="25"/>
    </row>
    <row r="6" spans="1:40">
      <c r="A6" s="1036">
        <v>1</v>
      </c>
      <c r="B6" s="27" t="s">
        <v>21</v>
      </c>
      <c r="C6" s="28" t="s">
        <v>106</v>
      </c>
      <c r="D6" s="39">
        <v>90</v>
      </c>
      <c r="E6" s="28">
        <v>1955</v>
      </c>
      <c r="F6" s="26">
        <v>80</v>
      </c>
      <c r="G6" s="26">
        <v>3</v>
      </c>
      <c r="H6" s="26"/>
      <c r="I6" s="26">
        <f>IF(E6&lt;=1966,'Założenia,wskaźniki, listy'!$H$4,IF(E6&gt;1966,IF(E6&lt;=1985,'Założenia,wskaźniki, listy'!$H$5,IF(E6&gt;1985,IF(E6&lt;=1992,'Założenia,wskaźniki, listy'!$H$6,IF(E6&gt;1992,IF(E6&lt;=1996,'Założenia,wskaźniki, listy'!$H$7,IF(E6&gt;1996,IF(E6&lt;=2013,'Założenia,wskaźniki, listy'!$H$8)))))))))</f>
        <v>290</v>
      </c>
      <c r="J6" s="28" t="s">
        <v>33</v>
      </c>
      <c r="K6" s="26" t="s">
        <v>8</v>
      </c>
      <c r="L6" s="26"/>
      <c r="M6" s="45"/>
      <c r="N6" s="30"/>
      <c r="O6" s="30"/>
      <c r="P6" s="62">
        <f>55+4</f>
        <v>59</v>
      </c>
      <c r="Q6" s="1060">
        <f>(14000+12000+1000)/1000</f>
        <v>27</v>
      </c>
      <c r="R6" s="158">
        <f>IF(K6="węgiel",P6*'Założenia,wskaźniki, listy'!$C$44,IF(K6="gaz",P6*'Założenia,wskaźniki, listy'!$D$44,IF(K6="drewno",P6*'Założenia,wskaźniki, listy'!$E$44,IF(K6="pelet",P6*'Założenia,wskaźniki, listy'!$F$44,IF(K6="olej opałowy",P6*'Założenia,wskaźniki, listy'!$G$44,IF(K6="sieć ciepłownicza",0,IF(K6="prąd",0,0)))))))</f>
        <v>1.3275E-2</v>
      </c>
      <c r="S6" s="158">
        <f>IF(K6="węgiel",P6*'Założenia,wskaźniki, listy'!$C$45,IF(K6="gaz",P6*'Założenia,wskaźniki, listy'!$D$45,IF(K6="drewno",P6*'Założenia,wskaźniki, listy'!$E$45,IF(K6="pelet",P6*'Założenia,wskaźniki, listy'!$F$45,IF(K6="olej opałowy",P6*'Założenia,wskaźniki, listy'!$G$45,IF(K6="sieć ciepłownicza",0,IF(K6="prąd",0,0)))))))</f>
        <v>1.1859E-2</v>
      </c>
      <c r="T6" s="158">
        <f>IF(K6="węgiel",P6*'Założenia,wskaźniki, listy'!$C$46,IF(K6="gaz",P6*'Założenia,wskaźniki, listy'!$D$46,IF(K6="drewno",P6*'Założenia,wskaźniki, listy'!$E$46,IF(K6="pelet",P6*'Założenia,wskaźniki, listy'!$F$46,IF(K6="olej opałowy",P6*'Założenia,wskaźniki, listy'!$G$46,IF(K6="sieć ciepłownicza",P6*'Założenia,wskaźniki, listy'!$H$46,IF(K6="prąd",0,0)))))))</f>
        <v>5.5306599999999992</v>
      </c>
      <c r="U6" s="158">
        <f>IF(K6="węgiel",P6*'Założenia,wskaźniki, listy'!$C$47,IF(K6="gaz",P6*'Założenia,wskaźniki, listy'!$D$47,IF(K6="drewno",P6*'Założenia,wskaźniki, listy'!$E$47,IF(K6="pelet",P6*'Założenia,wskaźniki, listy'!$F$47,IF(K6="olej opałowy",P6*'Założenia,wskaźniki, listy'!$G$47,IF(K6="sieć ciepłownicza",0,IF(K6="prąd",0,0)))))))</f>
        <v>1.5930000000000002E-5</v>
      </c>
      <c r="V6" s="158">
        <f>IF(K6="węgiel",P6*'Założenia,wskaźniki, listy'!$C$48, IF(K6="gaz",P6*'Założenia,wskaźniki, listy'!$D$48,IF(K6="drewno",P6*'Założenia,wskaźniki, listy'!$E$48,IF(K6="pelet",P6*'Założenia,wskaźniki, listy'!$F$48,IF(K6="olej opałowy",P6*'Założenia,wskaźniki, listy'!$G$48,IF(K6="sieć ciepłownicza",0,IF(K6="prąd",0,0)))))))</f>
        <v>5.3100000000000001E-2</v>
      </c>
      <c r="W6" s="158">
        <f>IF(K6="węgiel",P6*'Założenia,wskaźniki, listy'!$C$49, IF(K6="gaz",P6*'Założenia,wskaźniki, listy'!$D$49, IF(K6="drewno",P6*'Założenia,wskaźniki, listy'!$E$49,IF(K6="pelet",P6*'Założenia,wskaźniki, listy'!$F$49,IF(K6="olej opałowy",P6*'Założenia,wskaźniki, listy'!$G$49,IF(K6="sieć ciepłownicza",0,IF(K6="prąd",0,0)))))))</f>
        <v>9.3219999999999987E-3</v>
      </c>
      <c r="X6" s="158">
        <f>IF(K6="węgiel",P6*'Założenia,wskaźniki, listy'!$C$50,IF(K6="gaz",P6*'Założenia,wskaźniki, listy'!$D$50, IF(K6="drewno",P6*'Założenia,wskaźniki, listy'!$E$50,IF(K6="pelet",P6*'Założenia,wskaźniki, listy'!$F$50,IF(K6="pelet",P6*'Założenia,wskaźniki, listy'!$F$50,IF(K6="olej opałowy",P6*'Założenia,wskaźniki, listy'!$G$50,IF(K6="sieć ciepłownicza",0,IF(K6="prąd",0,0))))))))</f>
        <v>0.11868573983012963</v>
      </c>
      <c r="Y6" s="31">
        <f>R6</f>
        <v>1.3275E-2</v>
      </c>
      <c r="Z6" s="31">
        <f>S6</f>
        <v>1.1859E-2</v>
      </c>
      <c r="AA6" s="31">
        <f>T6+Q6*'Założenia,wskaźniki, listy'!$J$46</f>
        <v>27.981160000000003</v>
      </c>
      <c r="AB6" s="31">
        <f>U6</f>
        <v>1.5930000000000002E-5</v>
      </c>
      <c r="AC6" s="31">
        <f t="shared" ref="AC6:AE6" si="1">V6</f>
        <v>5.3100000000000001E-2</v>
      </c>
      <c r="AD6" s="31">
        <f t="shared" si="1"/>
        <v>9.3219999999999987E-3</v>
      </c>
      <c r="AE6" s="31">
        <f t="shared" si="1"/>
        <v>0.11868573983012963</v>
      </c>
      <c r="AG6" s="40" t="s">
        <v>116</v>
      </c>
      <c r="AH6" s="51"/>
      <c r="AI6" s="117"/>
      <c r="AK6" s="25">
        <v>0.04</v>
      </c>
      <c r="AL6" s="25" t="s">
        <v>288</v>
      </c>
      <c r="AM6" s="25">
        <v>5400</v>
      </c>
      <c r="AN6" s="25">
        <f>AK6*AM6</f>
        <v>216</v>
      </c>
    </row>
    <row r="7" spans="1:40" ht="15" customHeight="1">
      <c r="A7" s="1037"/>
      <c r="B7" s="27"/>
      <c r="C7" s="28"/>
      <c r="E7" s="28"/>
      <c r="F7" s="26"/>
      <c r="G7" s="26"/>
      <c r="H7" s="26"/>
      <c r="I7" s="26">
        <f>IF(E7&lt;=1966,'Założenia,wskaźniki, listy'!$H$4,IF(E7&gt;1966,IF(E7&lt;=1985,'Założenia,wskaźniki, listy'!$H$5,IF(E7&gt;1985,IF(E7&lt;=1992,'Założenia,wskaźniki, listy'!$H$6,IF(E7&gt;1992,IF(E7&lt;=1996,'Założenia,wskaźniki, listy'!$H$7,IF(E7&gt;1996,IF(E7&lt;=2013,'Założenia,wskaźniki, listy'!$H$8)))))))))</f>
        <v>290</v>
      </c>
      <c r="J7" s="28"/>
      <c r="K7" s="26" t="s">
        <v>26</v>
      </c>
      <c r="L7" s="26"/>
      <c r="M7" s="45"/>
      <c r="N7" s="30"/>
      <c r="O7" s="30"/>
      <c r="P7" s="62">
        <f>5400*'Założenia,wskaźniki, listy'!B5</f>
        <v>213.3</v>
      </c>
      <c r="Q7" s="1061"/>
      <c r="R7" s="158">
        <f>IF(K7="węgiel",P7*'Założenia,wskaźniki, listy'!$C$44,IF(K7="gaz",P7*'Założenia,wskaźniki, listy'!$D$44,IF(K7="drewno",P7*'Założenia,wskaźniki, listy'!$E$44,IF(K7="pelet",P7*'Założenia,wskaźniki, listy'!$F$44,IF(K7="olej opałowy",P7*'Założenia,wskaźniki, listy'!$G$44,IF(K7="sieć ciepłownicza",0,IF(K7="prąd",0,0)))))))</f>
        <v>1.0665E-4</v>
      </c>
      <c r="S7" s="158">
        <f>IF(K7="węgiel",P7*'Założenia,wskaźniki, listy'!$C$45,IF(K7="gaz",P7*'Założenia,wskaźniki, listy'!$D$45,IF(K7="drewno",P7*'Założenia,wskaźniki, listy'!$E$45,IF(K7="pelet",P7*'Założenia,wskaźniki, listy'!$F$45,IF(K7="olej opałowy",P7*'Założenia,wskaźniki, listy'!$G$45,IF(K7="sieć ciepłownicza",0,IF(K7="prąd",0,0)))))))</f>
        <v>1.0665E-4</v>
      </c>
      <c r="T7" s="158">
        <f>IF(K7="węgiel",P7*'Założenia,wskaźniki, listy'!$C$46,IF(K7="gaz",P7*'Założenia,wskaźniki, listy'!$D$46,IF(K7="drewno",P7*'Założenia,wskaźniki, listy'!$E$46,IF(K7="pelet",P7*'Założenia,wskaźniki, listy'!$F$46,IF(K7="olej opałowy",P7*'Założenia,wskaźniki, listy'!$G$46,IF(K7="sieć ciepłownicza",P7*'Założenia,wskaźniki, listy'!$H$46,IF(K7="prąd",0,0)))))))</f>
        <v>14.004920565832453</v>
      </c>
      <c r="U7" s="158">
        <f>IF(K7="węgiel",P7*'Założenia,wskaźniki, listy'!$C$47,IF(K7="gaz",P7*'Założenia,wskaźniki, listy'!$D$47,IF(K7="drewno",P7*'Założenia,wskaźniki, listy'!$E$47,IF(K7="pelet",P7*'Założenia,wskaźniki, listy'!$F$47,IF(K7="olej opałowy",P7*'Założenia,wskaźniki, listy'!$G$47,IF(K7="sieć ciepłownicza",0,IF(K7="prąd",0,0)))))))</f>
        <v>0</v>
      </c>
      <c r="V7" s="158">
        <f>IF(K7="węgiel",P7*'Założenia,wskaźniki, listy'!$C$48, IF(K7="gaz",P7*'Założenia,wskaźniki, listy'!$D$48,IF(K7="drewno",P7*'Założenia,wskaźniki, listy'!$E$48,IF(K7="pelet",P7*'Założenia,wskaźniki, listy'!$F$48,IF(K7="olej opałowy",P7*'Założenia,wskaźniki, listy'!$G$48,IF(K7="sieć ciepłownicza",0,IF(K7="prąd",0,0)))))))</f>
        <v>1.0665E-4</v>
      </c>
      <c r="W7" s="158">
        <f>IF(K7="węgiel",P7*'Założenia,wskaźniki, listy'!$C$49, IF(K7="gaz",P7*'Założenia,wskaźniki, listy'!$D$49, IF(K7="drewno",P7*'Założenia,wskaźniki, listy'!$E$49,IF(K7="pelet",P7*'Założenia,wskaźniki, listy'!$F$49,IF(K7="olej opałowy",P7*'Założenia,wskaźniki, listy'!$G$49,IF(K7="sieć ciepłownicza",0,IF(K7="prąd",0,0)))))))</f>
        <v>1.0665000000000001E-2</v>
      </c>
      <c r="X7" s="158">
        <f>IF(K7="węgiel",P7*'Założenia,wskaźniki, listy'!$C$50,IF(K7="gaz",P7*'Założenia,wskaźniki, listy'!$D$50, IF(K7="drewno",P7*'Założenia,wskaźniki, listy'!$E$50,IF(K7="pelet",P7*'Założenia,wskaźniki, listy'!$F$50,IF(K7="pelet",P7*'Założenia,wskaźniki, listy'!$F$50,IF(K7="olej opałowy",P7*'Założenia,wskaźniki, listy'!$G$50,IF(K7="sieć ciepłownicza",0,IF(K7="prąd",0,0))))))))</f>
        <v>1.59975E-3</v>
      </c>
      <c r="Y7" s="31">
        <f t="shared" ref="Y7:Y12" si="2">R7</f>
        <v>1.0665E-4</v>
      </c>
      <c r="Z7" s="31">
        <f t="shared" ref="Z7:Z12" si="3">S7</f>
        <v>1.0665E-4</v>
      </c>
      <c r="AA7" s="31">
        <f>T7+Q7*'Założenia,wskaźniki, listy'!$J$46</f>
        <v>14.004920565832453</v>
      </c>
      <c r="AB7" s="31">
        <f t="shared" ref="AB7:AB12" si="4">U7</f>
        <v>0</v>
      </c>
      <c r="AC7" s="31">
        <f t="shared" ref="AC7:AC12" si="5">V7</f>
        <v>1.0665E-4</v>
      </c>
      <c r="AD7" s="31">
        <f t="shared" ref="AD7:AD12" si="6">W7</f>
        <v>1.0665000000000001E-2</v>
      </c>
      <c r="AE7" s="31">
        <f t="shared" ref="AE7:AE12" si="7">X7</f>
        <v>1.59975E-3</v>
      </c>
      <c r="AG7" s="40" t="s">
        <v>79</v>
      </c>
      <c r="AH7" s="51"/>
      <c r="AI7" s="117"/>
    </row>
    <row r="8" spans="1:40">
      <c r="A8" s="1036">
        <v>2</v>
      </c>
      <c r="B8" s="27" t="s">
        <v>21</v>
      </c>
      <c r="C8" s="28" t="s">
        <v>107</v>
      </c>
      <c r="D8">
        <v>94</v>
      </c>
      <c r="E8" s="28">
        <v>1991</v>
      </c>
      <c r="F8" s="26">
        <v>200</v>
      </c>
      <c r="G8" s="26">
        <v>3</v>
      </c>
      <c r="H8" s="26"/>
      <c r="I8" s="26">
        <f>IF(E8&lt;=1966,'Założenia,wskaźniki, listy'!$H$4,IF(E8&gt;1966,IF(E8&lt;=1985,'Założenia,wskaźniki, listy'!$H$5,IF(E8&gt;1985,IF(E8&lt;=1992,'Założenia,wskaźniki, listy'!$H$6,IF(E8&gt;1992,IF(E8&lt;=1996,'Założenia,wskaźniki, listy'!$H$7,IF(E8&gt;1996,IF(E8&lt;=2013,'Założenia,wskaźniki, listy'!$H$8)))))))))</f>
        <v>175</v>
      </c>
      <c r="J8" s="28" t="s">
        <v>32</v>
      </c>
      <c r="K8" s="26" t="s">
        <v>79</v>
      </c>
      <c r="L8" s="26"/>
      <c r="M8" s="45"/>
      <c r="N8" s="30"/>
      <c r="O8" s="30"/>
      <c r="P8" s="62"/>
      <c r="Q8" s="1061"/>
      <c r="R8" s="158">
        <f>IF(K8="węgiel",P8*'Założenia,wskaźniki, listy'!$C$44,IF(K8="gaz",P8*'Założenia,wskaźniki, listy'!$D$44,IF(K8="drewno",P8*'Założenia,wskaźniki, listy'!$E$44,IF(K8="pelet",P8*'Założenia,wskaźniki, listy'!$F$44,IF(K8="olej opałowy",P8*'Założenia,wskaźniki, listy'!$G$44,IF(K8="sieć ciepłownicza",0,IF(K8="prąd",0,0)))))))</f>
        <v>0</v>
      </c>
      <c r="S8" s="158">
        <f>IF(K8="węgiel",P8*'Założenia,wskaźniki, listy'!$C$45,IF(K8="gaz",P8*'Założenia,wskaźniki, listy'!$D$45,IF(K8="drewno",P8*'Założenia,wskaźniki, listy'!$E$45,IF(K8="pelet",P8*'Założenia,wskaźniki, listy'!$F$45,IF(K8="olej opałowy",P8*'Założenia,wskaźniki, listy'!$G$45,IF(K8="sieć ciepłownicza",0,IF(K8="prąd",0,0)))))))</f>
        <v>0</v>
      </c>
      <c r="T8" s="158">
        <f>IF(K8="węgiel",P8*'Założenia,wskaźniki, listy'!$C$46,IF(K8="gaz",P8*'Założenia,wskaźniki, listy'!$D$46,IF(K8="drewno",P8*'Założenia,wskaźniki, listy'!$E$46,IF(K8="pelet",P8*'Założenia,wskaźniki, listy'!$F$46,IF(K8="olej opałowy",P8*'Założenia,wskaźniki, listy'!$G$46,IF(K8="sieć ciepłownicza",P8*'Założenia,wskaźniki, listy'!$H$46,IF(K8="prąd",0,0)))))))</f>
        <v>0</v>
      </c>
      <c r="U8" s="158">
        <f>IF(K8="węgiel",P8*'Założenia,wskaźniki, listy'!$C$47,IF(K8="gaz",P8*'Założenia,wskaźniki, listy'!$D$47,IF(K8="drewno",P8*'Założenia,wskaźniki, listy'!$E$47,IF(K8="pelet",P8*'Założenia,wskaźniki, listy'!$F$47,IF(K8="olej opałowy",P8*'Założenia,wskaźniki, listy'!$G$47,IF(K8="sieć ciepłownicza",0,IF(K8="prąd",0,0)))))))</f>
        <v>0</v>
      </c>
      <c r="V8" s="158">
        <f>IF(K8="węgiel",P8*'Założenia,wskaźniki, listy'!$C$48, IF(K8="gaz",P8*'Założenia,wskaźniki, listy'!$D$48,IF(K8="drewno",P8*'Założenia,wskaźniki, listy'!$E$48,IF(K8="pelet",P8*'Założenia,wskaźniki, listy'!$F$48,IF(K8="olej opałowy",P8*'Założenia,wskaźniki, listy'!$G$48,IF(K8="sieć ciepłownicza",0,IF(K8="prąd",0,0)))))))</f>
        <v>0</v>
      </c>
      <c r="W8" s="158">
        <f>IF(K8="węgiel",P8*'Założenia,wskaźniki, listy'!$C$49, IF(K8="gaz",P8*'Założenia,wskaźniki, listy'!$D$49, IF(K8="drewno",P8*'Założenia,wskaźniki, listy'!$E$49,IF(K8="pelet",P8*'Założenia,wskaźniki, listy'!$F$49,IF(K8="olej opałowy",P8*'Założenia,wskaźniki, listy'!$G$49,IF(K8="sieć ciepłownicza",0,IF(K8="prąd",0,0)))))))</f>
        <v>0</v>
      </c>
      <c r="X8" s="158">
        <f>IF(K8="węgiel",P8*'Założenia,wskaźniki, listy'!$C$50,IF(K8="gaz",P8*'Założenia,wskaźniki, listy'!$D$50, IF(K8="drewno",P8*'Założenia,wskaźniki, listy'!$E$50,IF(K8="pelet",P8*'Założenia,wskaźniki, listy'!$F$50,IF(K8="pelet",P8*'Założenia,wskaźniki, listy'!$F$50,IF(K8="olej opałowy",P8*'Założenia,wskaźniki, listy'!$G$50,IF(K8="sieć ciepłownicza",0,IF(K8="prąd",0,0))))))))</f>
        <v>0</v>
      </c>
      <c r="Y8" s="31">
        <f t="shared" si="2"/>
        <v>0</v>
      </c>
      <c r="Z8" s="31">
        <f t="shared" si="3"/>
        <v>0</v>
      </c>
      <c r="AA8" s="31">
        <f>T8+Q8*'Założenia,wskaźniki, listy'!$J$46</f>
        <v>0</v>
      </c>
      <c r="AB8" s="31">
        <f t="shared" si="4"/>
        <v>0</v>
      </c>
      <c r="AC8" s="31">
        <f t="shared" si="5"/>
        <v>0</v>
      </c>
      <c r="AD8" s="31">
        <f t="shared" si="6"/>
        <v>0</v>
      </c>
      <c r="AE8" s="31">
        <f t="shared" si="7"/>
        <v>0</v>
      </c>
      <c r="AG8" s="40" t="s">
        <v>27</v>
      </c>
      <c r="AH8" s="51"/>
      <c r="AI8" s="117"/>
    </row>
    <row r="9" spans="1:40">
      <c r="A9" s="1037"/>
      <c r="B9" s="27"/>
      <c r="C9" s="28"/>
      <c r="E9" s="28"/>
      <c r="F9" s="26"/>
      <c r="G9" s="26"/>
      <c r="H9" s="26"/>
      <c r="I9" s="26">
        <f>IF(E9&lt;=1966,'Założenia,wskaźniki, listy'!$H$4,IF(E9&gt;1966,IF(E9&lt;=1985,'Założenia,wskaźniki, listy'!$H$5,IF(E9&gt;1985,IF(E9&lt;=1992,'Założenia,wskaźniki, listy'!$H$6,IF(E9&gt;1992,IF(E9&lt;=1996,'Założenia,wskaźniki, listy'!$H$7,IF(E9&gt;1996,IF(E9&lt;=2013,'Założenia,wskaźniki, listy'!$H$8)))))))))</f>
        <v>290</v>
      </c>
      <c r="J9" s="28"/>
      <c r="K9" s="26" t="s">
        <v>27</v>
      </c>
      <c r="L9" s="26"/>
      <c r="M9" s="45"/>
      <c r="N9" s="30"/>
      <c r="O9" s="30"/>
      <c r="P9" s="62"/>
      <c r="Q9" s="1061"/>
      <c r="R9" s="158">
        <f>IF(K9="węgiel",P9*'Założenia,wskaźniki, listy'!$C$44,IF(K9="gaz",P9*'Założenia,wskaźniki, listy'!$D$44,IF(K9="drewno",P9*'Założenia,wskaźniki, listy'!$E$44,IF(K9="pelet",P9*'Założenia,wskaźniki, listy'!$F$44,IF(K9="olej opałowy",P9*'Założenia,wskaźniki, listy'!$G$44,IF(K9="sieć ciepłownicza",0,IF(K9="prąd",0,0)))))))</f>
        <v>0</v>
      </c>
      <c r="S9" s="158">
        <f>IF(K9="węgiel",P9*'Założenia,wskaźniki, listy'!$C$45,IF(K9="gaz",P9*'Założenia,wskaźniki, listy'!$D$45,IF(K9="drewno",P9*'Założenia,wskaźniki, listy'!$E$45,IF(K9="pelet",P9*'Założenia,wskaźniki, listy'!$F$45,IF(K9="olej opałowy",P9*'Założenia,wskaźniki, listy'!$G$45,IF(K9="sieć ciepłownicza",0,IF(K9="prąd",0,0)))))))</f>
        <v>0</v>
      </c>
      <c r="T9" s="158">
        <f>IF(K9="węgiel",P9*'Założenia,wskaźniki, listy'!$C$46,IF(K9="gaz",P9*'Założenia,wskaźniki, listy'!$D$46,IF(K9="drewno",P9*'Założenia,wskaźniki, listy'!$E$46,IF(K9="pelet",P9*'Założenia,wskaźniki, listy'!$F$46,IF(K9="olej opałowy",P9*'Założenia,wskaźniki, listy'!$G$46,IF(K9="sieć ciepłownicza",P9*'Założenia,wskaźniki, listy'!$H$46,IF(K9="prąd",0,0)))))))</f>
        <v>0</v>
      </c>
      <c r="U9" s="158">
        <f>IF(K9="węgiel",P9*'Założenia,wskaźniki, listy'!$C$47,IF(K9="gaz",P9*'Założenia,wskaźniki, listy'!$D$47,IF(K9="drewno",P9*'Założenia,wskaźniki, listy'!$E$47,IF(K9="pelet",P9*'Założenia,wskaźniki, listy'!$F$47,IF(K9="olej opałowy",P9*'Założenia,wskaźniki, listy'!$G$47,IF(K9="sieć ciepłownicza",0,IF(K9="prąd",0,0)))))))</f>
        <v>0</v>
      </c>
      <c r="V9" s="158">
        <f>IF(K9="węgiel",P9*'Założenia,wskaźniki, listy'!$C$48, IF(K9="gaz",P9*'Założenia,wskaźniki, listy'!$D$48,IF(K9="drewno",P9*'Założenia,wskaźniki, listy'!$E$48,IF(K9="pelet",P9*'Założenia,wskaźniki, listy'!$F$48,IF(K9="olej opałowy",P9*'Założenia,wskaźniki, listy'!$G$48,IF(K9="sieć ciepłownicza",0,IF(K9="prąd",0,0)))))))</f>
        <v>0</v>
      </c>
      <c r="W9" s="158">
        <f>IF(K9="węgiel",P9*'Założenia,wskaźniki, listy'!$C$49, IF(K9="gaz",P9*'Założenia,wskaźniki, listy'!$D$49, IF(K9="drewno",P9*'Założenia,wskaźniki, listy'!$E$49,IF(K9="pelet",P9*'Założenia,wskaźniki, listy'!$F$49,IF(K9="olej opałowy",P9*'Założenia,wskaźniki, listy'!$G$49,IF(K9="sieć ciepłownicza",0,IF(K9="prąd",0,0)))))))</f>
        <v>0</v>
      </c>
      <c r="X9" s="158">
        <f>IF(K9="węgiel",P9*'Założenia,wskaźniki, listy'!$C$50,IF(K9="gaz",P9*'Założenia,wskaźniki, listy'!$D$50, IF(K9="drewno",P9*'Założenia,wskaźniki, listy'!$E$50,IF(K9="pelet",P9*'Założenia,wskaźniki, listy'!$F$50,IF(K9="pelet",P9*'Założenia,wskaźniki, listy'!$F$50,IF(K9="olej opałowy",P9*'Założenia,wskaźniki, listy'!$G$50,IF(K9="sieć ciepłownicza",0,IF(K9="prąd",0,0))))))))</f>
        <v>0</v>
      </c>
      <c r="Y9" s="31">
        <f t="shared" si="2"/>
        <v>0</v>
      </c>
      <c r="Z9" s="31">
        <f t="shared" si="3"/>
        <v>0</v>
      </c>
      <c r="AA9" s="31">
        <f>T9+Q9*'Założenia,wskaźniki, listy'!$J$46</f>
        <v>0</v>
      </c>
      <c r="AB9" s="31">
        <f t="shared" si="4"/>
        <v>0</v>
      </c>
      <c r="AC9" s="31">
        <f t="shared" si="5"/>
        <v>0</v>
      </c>
      <c r="AD9" s="31">
        <f t="shared" si="6"/>
        <v>0</v>
      </c>
      <c r="AE9" s="31">
        <f t="shared" si="7"/>
        <v>0</v>
      </c>
      <c r="AG9" s="40" t="s">
        <v>117</v>
      </c>
      <c r="AH9" s="51"/>
      <c r="AI9" s="117"/>
    </row>
    <row r="10" spans="1:40">
      <c r="A10" s="1036">
        <v>3</v>
      </c>
      <c r="B10" s="27" t="s">
        <v>21</v>
      </c>
      <c r="C10" s="1038" t="s">
        <v>108</v>
      </c>
      <c r="D10">
        <v>21</v>
      </c>
      <c r="E10" s="28">
        <v>1960</v>
      </c>
      <c r="F10" s="26">
        <v>97</v>
      </c>
      <c r="G10" s="26">
        <v>3</v>
      </c>
      <c r="H10" s="26"/>
      <c r="I10" s="26">
        <f>IF(E10&lt;=1966,'Założenia,wskaźniki, listy'!$H$4,IF(E10&gt;1966,IF(E10&lt;=1985,'Założenia,wskaźniki, listy'!$H$5,IF(E10&gt;1985,IF(E10&lt;=1992,'Założenia,wskaźniki, listy'!$H$6,IF(E10&gt;1992,IF(E10&lt;=1996,'Założenia,wskaźniki, listy'!$H$7,IF(E10&gt;1996,IF(E10&lt;=2013,'Założenia,wskaźniki, listy'!$H$8)))))))))</f>
        <v>290</v>
      </c>
      <c r="J10" s="28" t="s">
        <v>32</v>
      </c>
      <c r="K10" s="26" t="s">
        <v>7</v>
      </c>
      <c r="L10" s="26"/>
      <c r="M10" s="45"/>
      <c r="N10" s="30"/>
      <c r="O10" s="30"/>
      <c r="P10" s="62"/>
      <c r="Q10" s="1061"/>
      <c r="R10" s="158">
        <f>IF(K10="węgiel",P10*'Założenia,wskaźniki, listy'!$C$44,IF(K10="gaz",P10*'Założenia,wskaźniki, listy'!$D$44,IF(K10="drewno",P10*'Założenia,wskaźniki, listy'!$E$44,IF(K10="pelet",P10*'Założenia,wskaźniki, listy'!$F$44,IF(K10="olej opałowy",P10*'Założenia,wskaźniki, listy'!$G$44,IF(K10="sieć ciepłownicza",0,IF(K10="prąd",0,0)))))))</f>
        <v>0</v>
      </c>
      <c r="S10" s="158">
        <f>IF(K10="węgiel",P10*'Założenia,wskaźniki, listy'!$C$45,IF(K10="gaz",P10*'Założenia,wskaźniki, listy'!$D$45,IF(K10="drewno",P10*'Założenia,wskaźniki, listy'!$E$45,IF(K10="pelet",P10*'Założenia,wskaźniki, listy'!$F$45,IF(K10="olej opałowy",P10*'Założenia,wskaźniki, listy'!$G$45,IF(K10="sieć ciepłownicza",0,IF(K10="prąd",0,0)))))))</f>
        <v>0</v>
      </c>
      <c r="T10" s="158">
        <f>IF(K10="węgiel",P10*'Założenia,wskaźniki, listy'!$C$46,IF(K10="gaz",P10*'Założenia,wskaźniki, listy'!$D$46,IF(K10="drewno",P10*'Założenia,wskaźniki, listy'!$E$46,IF(K10="pelet",P10*'Założenia,wskaźniki, listy'!$F$46,IF(K10="olej opałowy",P10*'Założenia,wskaźniki, listy'!$G$46,IF(K10="sieć ciepłownicza",P10*'Założenia,wskaźniki, listy'!$H$46,IF(K10="prąd",0,0)))))))</f>
        <v>0</v>
      </c>
      <c r="U10" s="158">
        <f>IF(K10="węgiel",P10*'Założenia,wskaźniki, listy'!$C$47,IF(K10="gaz",P10*'Założenia,wskaźniki, listy'!$D$47,IF(K10="drewno",P10*'Założenia,wskaźniki, listy'!$E$47,IF(K10="pelet",P10*'Założenia,wskaźniki, listy'!$F$47,IF(K10="olej opałowy",P10*'Założenia,wskaźniki, listy'!$G$47,IF(K10="sieć ciepłownicza",0,IF(K10="prąd",0,0)))))))</f>
        <v>0</v>
      </c>
      <c r="V10" s="158">
        <f>IF(K10="węgiel",P10*'Założenia,wskaźniki, listy'!$C$48, IF(K10="gaz",P10*'Założenia,wskaźniki, listy'!$D$48,IF(K10="drewno",P10*'Założenia,wskaźniki, listy'!$E$48,IF(K10="pelet",P10*'Założenia,wskaźniki, listy'!$F$48,IF(K10="olej opałowy",P10*'Założenia,wskaźniki, listy'!$G$48,IF(K10="sieć ciepłownicza",0,IF(K10="prąd",0,0)))))))</f>
        <v>0</v>
      </c>
      <c r="W10" s="158">
        <f>IF(K10="węgiel",P10*'Założenia,wskaźniki, listy'!$C$49, IF(K10="gaz",P10*'Założenia,wskaźniki, listy'!$D$49, IF(K10="drewno",P10*'Założenia,wskaźniki, listy'!$E$49,IF(K10="pelet",P10*'Założenia,wskaźniki, listy'!$F$49,IF(K10="olej opałowy",P10*'Założenia,wskaźniki, listy'!$G$49,IF(K10="sieć ciepłownicza",0,IF(K10="prąd",0,0)))))))</f>
        <v>0</v>
      </c>
      <c r="X10" s="158">
        <f>IF(K10="węgiel",P10*'Założenia,wskaźniki, listy'!$C$50,IF(K10="gaz",P10*'Założenia,wskaźniki, listy'!$D$50, IF(K10="drewno",P10*'Założenia,wskaźniki, listy'!$E$50,IF(K10="pelet",P10*'Założenia,wskaźniki, listy'!$F$50,IF(K10="pelet",P10*'Założenia,wskaźniki, listy'!$F$50,IF(K10="olej opałowy",P10*'Założenia,wskaźniki, listy'!$G$50,IF(K10="sieć ciepłownicza",0,IF(K10="prąd",0,0))))))))</f>
        <v>0</v>
      </c>
      <c r="Y10" s="31">
        <f t="shared" si="2"/>
        <v>0</v>
      </c>
      <c r="Z10" s="31">
        <f t="shared" si="3"/>
        <v>0</v>
      </c>
      <c r="AA10" s="31">
        <f>T10+Q10*'Założenia,wskaźniki, listy'!$J$46</f>
        <v>0</v>
      </c>
      <c r="AB10" s="31">
        <f t="shared" si="4"/>
        <v>0</v>
      </c>
      <c r="AC10" s="31">
        <f t="shared" si="5"/>
        <v>0</v>
      </c>
      <c r="AD10" s="31">
        <f t="shared" si="6"/>
        <v>0</v>
      </c>
      <c r="AE10" s="31">
        <f t="shared" si="7"/>
        <v>0</v>
      </c>
      <c r="AG10" s="40" t="s">
        <v>29</v>
      </c>
      <c r="AH10" s="51"/>
      <c r="AI10" s="117"/>
    </row>
    <row r="11" spans="1:40" ht="26.4">
      <c r="A11" s="1037"/>
      <c r="B11" s="27"/>
      <c r="C11" s="1039"/>
      <c r="E11" s="28"/>
      <c r="F11" s="26"/>
      <c r="G11" s="26"/>
      <c r="H11" s="26"/>
      <c r="I11" s="26">
        <f>IF(E11&lt;=1966,'Założenia,wskaźniki, listy'!$H$4,IF(E11&gt;1966,IF(E11&lt;=1985,'Założenia,wskaźniki, listy'!$H$5,IF(E11&gt;1985,IF(E11&lt;=1992,'Założenia,wskaźniki, listy'!$H$6,IF(E11&gt;1992,IF(E11&lt;=1996,'Założenia,wskaźniki, listy'!$H$7,IF(E11&gt;1996,IF(E11&lt;=2013,'Założenia,wskaźniki, listy'!$H$8)))))))))</f>
        <v>290</v>
      </c>
      <c r="J11" s="28"/>
      <c r="K11" s="26" t="s">
        <v>29</v>
      </c>
      <c r="L11" s="26"/>
      <c r="M11" s="45"/>
      <c r="N11" s="30"/>
      <c r="O11" s="30"/>
      <c r="P11" s="62"/>
      <c r="Q11" s="1061"/>
      <c r="R11" s="158">
        <f>IF(K11="węgiel",P11*'Założenia,wskaźniki, listy'!$C$44,IF(K11="gaz",P11*'Założenia,wskaźniki, listy'!$D$44,IF(K11="drewno",P11*'Założenia,wskaźniki, listy'!$E$44,IF(K11="pelet",P11*'Założenia,wskaźniki, listy'!$F$44,IF(K11="olej opałowy",P11*'Założenia,wskaźniki, listy'!$G$44,IF(K11="sieć ciepłownicza",0,IF(K11="prąd",0,0)))))))</f>
        <v>0</v>
      </c>
      <c r="S11" s="158">
        <f>IF(K11="węgiel",P11*'Założenia,wskaźniki, listy'!$C$45,IF(K11="gaz",P11*'Założenia,wskaźniki, listy'!$D$45,IF(K11="drewno",P11*'Założenia,wskaźniki, listy'!$E$45,IF(K11="pelet",P11*'Założenia,wskaźniki, listy'!$F$45,IF(K11="olej opałowy",P11*'Założenia,wskaźniki, listy'!$G$45,IF(K11="sieć ciepłownicza",0,IF(K11="prąd",0,0)))))))</f>
        <v>0</v>
      </c>
      <c r="T11" s="158">
        <f>IF(K11="węgiel",P11*'Założenia,wskaźniki, listy'!$C$46,IF(K11="gaz",P11*'Założenia,wskaźniki, listy'!$D$46,IF(K11="drewno",P11*'Założenia,wskaźniki, listy'!$E$46,IF(K11="pelet",P11*'Założenia,wskaźniki, listy'!$F$46,IF(K11="olej opałowy",P11*'Założenia,wskaźniki, listy'!$G$46,IF(K11="sieć ciepłownicza",P11*'Założenia,wskaźniki, listy'!$H$46,IF(K11="prąd",0,0)))))))</f>
        <v>0</v>
      </c>
      <c r="U11" s="158">
        <f>IF(K11="węgiel",P11*'Założenia,wskaźniki, listy'!$C$47,IF(K11="gaz",P11*'Założenia,wskaźniki, listy'!$D$47,IF(K11="drewno",P11*'Założenia,wskaźniki, listy'!$E$47,IF(K11="pelet",P11*'Założenia,wskaźniki, listy'!$F$47,IF(K11="olej opałowy",P11*'Założenia,wskaźniki, listy'!$G$47,IF(K11="sieć ciepłownicza",0,IF(K11="prąd",0,0)))))))</f>
        <v>0</v>
      </c>
      <c r="V11" s="158">
        <f>IF(K11="węgiel",P11*'Założenia,wskaźniki, listy'!$C$48, IF(K11="gaz",P11*'Założenia,wskaźniki, listy'!$D$48,IF(K11="drewno",P11*'Założenia,wskaźniki, listy'!$E$48,IF(K11="pelet",P11*'Założenia,wskaźniki, listy'!$F$48,IF(K11="olej opałowy",P11*'Założenia,wskaźniki, listy'!$G$48,IF(K11="sieć ciepłownicza",0,IF(K11="prąd",0,0)))))))</f>
        <v>0</v>
      </c>
      <c r="W11" s="158">
        <f>IF(K11="węgiel",P11*'Założenia,wskaźniki, listy'!$C$49, IF(K11="gaz",P11*'Założenia,wskaźniki, listy'!$D$49, IF(K11="drewno",P11*'Założenia,wskaźniki, listy'!$E$49,IF(K11="pelet",P11*'Założenia,wskaźniki, listy'!$F$49,IF(K11="olej opałowy",P11*'Założenia,wskaźniki, listy'!$G$49,IF(K11="sieć ciepłownicza",0,IF(K11="prąd",0,0)))))))</f>
        <v>0</v>
      </c>
      <c r="X11" s="158">
        <f>IF(K11="węgiel",P11*'Założenia,wskaźniki, listy'!$C$50,IF(K11="gaz",P11*'Założenia,wskaźniki, listy'!$D$50, IF(K11="drewno",P11*'Założenia,wskaźniki, listy'!$E$50,IF(K11="pelet",P11*'Założenia,wskaźniki, listy'!$F$50,IF(K11="pelet",P11*'Założenia,wskaźniki, listy'!$F$50,IF(K11="olej opałowy",P11*'Założenia,wskaźniki, listy'!$G$50,IF(K11="sieć ciepłownicza",0,IF(K11="prąd",0,0))))))))</f>
        <v>0</v>
      </c>
      <c r="Y11" s="31">
        <f t="shared" si="2"/>
        <v>0</v>
      </c>
      <c r="Z11" s="31">
        <f t="shared" si="3"/>
        <v>0</v>
      </c>
      <c r="AA11" s="31">
        <f>T11+Q11*'Założenia,wskaźniki, listy'!$J$46</f>
        <v>0</v>
      </c>
      <c r="AB11" s="31">
        <f t="shared" si="4"/>
        <v>0</v>
      </c>
      <c r="AC11" s="31">
        <f t="shared" si="5"/>
        <v>0</v>
      </c>
      <c r="AD11" s="31">
        <f t="shared" si="6"/>
        <v>0</v>
      </c>
      <c r="AE11" s="31">
        <f t="shared" si="7"/>
        <v>0</v>
      </c>
      <c r="AG11" s="114" t="s">
        <v>128</v>
      </c>
      <c r="AH11" s="51"/>
      <c r="AI11" s="117"/>
    </row>
    <row r="12" spans="1:40" ht="14.25" customHeight="1">
      <c r="A12" s="92">
        <v>4</v>
      </c>
      <c r="B12" s="27" t="s">
        <v>21</v>
      </c>
      <c r="C12" s="94" t="s">
        <v>108</v>
      </c>
      <c r="D12">
        <v>23</v>
      </c>
      <c r="E12" s="28">
        <v>1920</v>
      </c>
      <c r="F12" s="26">
        <v>100</v>
      </c>
      <c r="G12" s="26">
        <v>3</v>
      </c>
      <c r="H12" s="26"/>
      <c r="I12" s="26">
        <f>IF(E12&lt;=1966,'Założenia,wskaźniki, listy'!$H$4,IF(E12&gt;1966,IF(E12&lt;=1985,'Założenia,wskaźniki, listy'!$H$5,IF(E12&gt;1985,IF(E12&lt;=1992,'Założenia,wskaźniki, listy'!$H$6,IF(E12&gt;1992,IF(E12&lt;=1996,'Założenia,wskaźniki, listy'!$H$7,IF(E12&gt;1996,IF(E12&lt;=2013,'Założenia,wskaźniki, listy'!$H$8)))))))))</f>
        <v>290</v>
      </c>
      <c r="J12" s="28" t="s">
        <v>33</v>
      </c>
      <c r="K12" s="44" t="s">
        <v>186</v>
      </c>
      <c r="L12" s="26"/>
      <c r="M12" s="45"/>
      <c r="N12" s="30"/>
      <c r="O12" s="30"/>
      <c r="P12" s="62"/>
      <c r="Q12" s="1062"/>
      <c r="R12" s="158">
        <f>IF(K12="węgiel",P12*'Założenia,wskaźniki, listy'!$C$44,IF(K12="gaz",P12*'Założenia,wskaźniki, listy'!$D$44,IF(K12="drewno",P12*'Założenia,wskaźniki, listy'!$E$44,IF(K12="pelet",P12*'Założenia,wskaźniki, listy'!$F$44,IF(K12="olej opałowy",P12*'Założenia,wskaźniki, listy'!$G$44,IF(K12="sieć ciepłownicza",0,IF(K12="prąd",0,0)))))))</f>
        <v>0</v>
      </c>
      <c r="S12" s="158">
        <f>IF(K12="węgiel",P12*'Założenia,wskaźniki, listy'!$C$45,IF(K12="gaz",P12*'Założenia,wskaźniki, listy'!$D$45,IF(K12="drewno",P12*'Założenia,wskaźniki, listy'!$E$45,IF(K12="pelet",P12*'Założenia,wskaźniki, listy'!$F$45,IF(K12="olej opałowy",P12*'Założenia,wskaźniki, listy'!$G$45,IF(K12="sieć ciepłownicza",0,IF(K12="prąd",0,0)))))))</f>
        <v>0</v>
      </c>
      <c r="T12" s="158">
        <f>IF(K12="węgiel",P12*'Założenia,wskaźniki, listy'!$C$46,IF(K12="gaz",P12*'Założenia,wskaźniki, listy'!$D$46,IF(K12="drewno",P12*'Założenia,wskaźniki, listy'!$E$46,IF(K12="pelet",P12*'Założenia,wskaźniki, listy'!$F$46,IF(K12="olej opałowy",P12*'Założenia,wskaźniki, listy'!$G$46,IF(K12="sieć ciepłownicza",P12*'Założenia,wskaźniki, listy'!$H$46,IF(K12="prąd",0,0)))))))</f>
        <v>0</v>
      </c>
      <c r="U12" s="158">
        <f>IF(K12="węgiel",P12*'Założenia,wskaźniki, listy'!$C$47,IF(K12="gaz",P12*'Założenia,wskaźniki, listy'!$D$47,IF(K12="drewno",P12*'Założenia,wskaźniki, listy'!$E$47,IF(K12="pelet",P12*'Założenia,wskaźniki, listy'!$F$47,IF(K12="olej opałowy",P12*'Założenia,wskaźniki, listy'!$G$47,IF(K12="sieć ciepłownicza",0,IF(K12="prąd",0,0)))))))</f>
        <v>0</v>
      </c>
      <c r="V12" s="158">
        <f>IF(K12="węgiel",P12*'Założenia,wskaźniki, listy'!$C$48, IF(K12="gaz",P12*'Założenia,wskaźniki, listy'!$D$48,IF(K12="drewno",P12*'Założenia,wskaźniki, listy'!$E$48,IF(K12="pelet",P12*'Założenia,wskaźniki, listy'!$F$48,IF(K12="olej opałowy",P12*'Założenia,wskaźniki, listy'!$G$48,IF(K12="sieć ciepłownicza",0,IF(K12="prąd",0,0)))))))</f>
        <v>0</v>
      </c>
      <c r="W12" s="158">
        <f>IF(K12="węgiel",P12*'Założenia,wskaźniki, listy'!$C$49, IF(K12="gaz",P12*'Założenia,wskaźniki, listy'!$D$49, IF(K12="drewno",P12*'Założenia,wskaźniki, listy'!$E$49,IF(K12="pelet",P12*'Założenia,wskaźniki, listy'!$F$49,IF(K12="olej opałowy",P12*'Założenia,wskaźniki, listy'!$G$49,IF(K12="sieć ciepłownicza",0,IF(K12="prąd",0,0)))))))</f>
        <v>0</v>
      </c>
      <c r="X12" s="158">
        <f>IF(K12="węgiel",P12*'Założenia,wskaźniki, listy'!$C$50,IF(K12="gaz",P12*'Założenia,wskaźniki, listy'!$D$50, IF(K12="drewno",P12*'Założenia,wskaźniki, listy'!$E$50,IF(K12="pelet",P12*'Założenia,wskaźniki, listy'!$F$50,IF(K12="pelet",P12*'Założenia,wskaźniki, listy'!$F$50,IF(K12="olej opałowy",P12*'Założenia,wskaźniki, listy'!$G$50,IF(K12="sieć ciepłownicza",0,IF(K12="prąd",0,0))))))))</f>
        <v>0</v>
      </c>
      <c r="Y12" s="31">
        <f t="shared" si="2"/>
        <v>0</v>
      </c>
      <c r="Z12" s="31">
        <f t="shared" si="3"/>
        <v>0</v>
      </c>
      <c r="AA12" s="31">
        <f>T12+Q12*'Założenia,wskaźniki, listy'!$J$46</f>
        <v>0</v>
      </c>
      <c r="AB12" s="31">
        <f t="shared" si="4"/>
        <v>0</v>
      </c>
      <c r="AC12" s="31">
        <f t="shared" si="5"/>
        <v>0</v>
      </c>
      <c r="AD12" s="31">
        <f t="shared" si="6"/>
        <v>0</v>
      </c>
      <c r="AE12" s="31">
        <f t="shared" si="7"/>
        <v>0</v>
      </c>
      <c r="AG12" s="27" t="s">
        <v>119</v>
      </c>
      <c r="AH12" s="51">
        <f>SUM(AH5:AH11)</f>
        <v>0</v>
      </c>
      <c r="AI12" s="117"/>
    </row>
    <row r="13" spans="1:40">
      <c r="G13" s="27" t="s">
        <v>31</v>
      </c>
      <c r="H13" s="46" t="e">
        <f>J13/$J$14</f>
        <v>#DIV/0!</v>
      </c>
      <c r="I13" s="27" t="s">
        <v>121</v>
      </c>
      <c r="J13" s="44">
        <f>COUNTIF(J6:J12,"brak")</f>
        <v>0</v>
      </c>
      <c r="K13" s="115" t="s">
        <v>189</v>
      </c>
      <c r="L13" s="115"/>
      <c r="M13" s="115"/>
      <c r="N13" s="115"/>
      <c r="O13" s="115"/>
      <c r="P13" s="115"/>
      <c r="Q13" s="116">
        <f>Q6</f>
        <v>27</v>
      </c>
      <c r="Y13" s="50">
        <f>SUM(Y6:Y12)</f>
        <v>1.338165E-2</v>
      </c>
      <c r="Z13" s="50">
        <f t="shared" ref="Z13:AE13" si="8">SUM(Z6:Z12)</f>
        <v>1.196565E-2</v>
      </c>
      <c r="AA13" s="50">
        <f t="shared" si="8"/>
        <v>41.986080565832452</v>
      </c>
      <c r="AB13" s="64">
        <f t="shared" si="8"/>
        <v>1.5930000000000002E-5</v>
      </c>
      <c r="AC13" s="50">
        <f t="shared" si="8"/>
        <v>5.3206650000000001E-2</v>
      </c>
      <c r="AD13" s="50">
        <f t="shared" si="8"/>
        <v>1.9986999999999998E-2</v>
      </c>
      <c r="AE13" s="50">
        <f t="shared" si="8"/>
        <v>0.12028548983012963</v>
      </c>
    </row>
    <row r="14" spans="1:40">
      <c r="J14" s="25">
        <f>SUM(J13:J13)</f>
        <v>0</v>
      </c>
      <c r="M14" s="42"/>
      <c r="N14" s="42"/>
      <c r="O14" s="42"/>
      <c r="P14" s="42"/>
      <c r="R14" s="59"/>
      <c r="S14" s="59"/>
      <c r="T14" s="59"/>
      <c r="U14" s="59"/>
      <c r="V14" s="59"/>
      <c r="W14" s="59"/>
      <c r="X14" s="42"/>
      <c r="Y14" s="63">
        <f>Y13</f>
        <v>1.338165E-2</v>
      </c>
      <c r="Z14" s="63">
        <f>Z13</f>
        <v>1.196565E-2</v>
      </c>
      <c r="AA14" s="25">
        <f>AA13/100</f>
        <v>0.41986080565832451</v>
      </c>
      <c r="AB14" s="63">
        <f>AB13</f>
        <v>1.5930000000000002E-5</v>
      </c>
      <c r="AC14" s="63">
        <f>AC13</f>
        <v>5.3206650000000001E-2</v>
      </c>
      <c r="AD14" s="63">
        <f>AD13</f>
        <v>1.9986999999999998E-2</v>
      </c>
      <c r="AE14" s="63">
        <f>AE13</f>
        <v>0.12028548983012963</v>
      </c>
      <c r="AK14" s="119"/>
      <c r="AL14" s="119"/>
    </row>
    <row r="15" spans="1:40">
      <c r="C15" s="42"/>
      <c r="M15" s="42"/>
      <c r="N15" s="41"/>
      <c r="O15" s="60"/>
      <c r="P15" s="60"/>
      <c r="Q15" s="42"/>
      <c r="R15" s="59"/>
      <c r="S15" s="59"/>
      <c r="T15" s="59"/>
      <c r="U15" s="59"/>
      <c r="V15" s="59"/>
      <c r="W15" s="59"/>
      <c r="X15" s="42"/>
      <c r="Y15" s="42"/>
      <c r="AK15" s="72"/>
      <c r="AL15" s="72"/>
    </row>
    <row r="16" spans="1:40">
      <c r="C16" s="42"/>
      <c r="D16" s="27" t="s">
        <v>129</v>
      </c>
      <c r="M16" s="42"/>
      <c r="N16" s="61"/>
      <c r="O16" s="60"/>
      <c r="P16" s="60"/>
      <c r="Q16" s="42"/>
      <c r="R16" s="59"/>
      <c r="S16" s="59"/>
      <c r="T16" s="59"/>
      <c r="U16" s="59"/>
      <c r="V16" s="59"/>
      <c r="W16" s="59"/>
      <c r="X16" s="42"/>
      <c r="Y16" s="42"/>
    </row>
    <row r="17" spans="1:38" ht="48" customHeight="1">
      <c r="C17" s="54"/>
      <c r="D17" s="56">
        <v>850</v>
      </c>
      <c r="E17" s="52" t="s">
        <v>130</v>
      </c>
      <c r="H17" s="25" t="s">
        <v>120</v>
      </c>
      <c r="M17" s="42"/>
      <c r="N17" s="61"/>
      <c r="O17" s="60"/>
      <c r="P17" s="60"/>
      <c r="Q17" s="42"/>
      <c r="R17" s="59"/>
      <c r="S17" s="59"/>
      <c r="T17" s="59"/>
      <c r="U17" s="59"/>
      <c r="V17" s="59"/>
      <c r="W17" s="59"/>
      <c r="X17" s="42"/>
      <c r="Y17" s="42"/>
      <c r="AK17" s="72"/>
      <c r="AL17" s="72"/>
    </row>
    <row r="18" spans="1:38">
      <c r="C18" s="55"/>
      <c r="D18" s="57">
        <v>1584</v>
      </c>
      <c r="E18" s="53" t="s">
        <v>98</v>
      </c>
      <c r="H18" s="25">
        <f>520</f>
        <v>520</v>
      </c>
      <c r="J18" s="25" t="s">
        <v>97</v>
      </c>
      <c r="M18" s="42"/>
      <c r="N18" s="61"/>
      <c r="O18" s="60"/>
      <c r="P18" s="60"/>
      <c r="Q18" s="42"/>
      <c r="R18" s="59"/>
      <c r="S18" s="59"/>
      <c r="T18" s="59"/>
      <c r="U18" s="59"/>
      <c r="V18" s="59"/>
      <c r="W18" s="59"/>
      <c r="X18" s="42"/>
      <c r="Y18" s="42"/>
      <c r="AK18" s="72"/>
      <c r="AL18" s="72"/>
    </row>
    <row r="19" spans="1:38">
      <c r="C19" s="42">
        <v>3.7</v>
      </c>
      <c r="D19">
        <f>D18/D17</f>
        <v>1.8635294117647059</v>
      </c>
      <c r="E19" s="25" t="s">
        <v>131</v>
      </c>
      <c r="M19" s="42"/>
      <c r="N19" s="61"/>
      <c r="O19" s="60"/>
      <c r="P19" s="60"/>
      <c r="Q19" s="42"/>
      <c r="R19" s="59"/>
      <c r="S19" s="59"/>
      <c r="T19" s="59"/>
      <c r="U19" s="59"/>
      <c r="V19" s="59"/>
      <c r="W19" s="59"/>
      <c r="X19" s="42"/>
      <c r="Y19" s="42"/>
    </row>
    <row r="20" spans="1:38">
      <c r="C20" s="42" t="s">
        <v>134</v>
      </c>
      <c r="D20" t="e">
        <f>(#REF!+#REF!)/D21</f>
        <v>#REF!</v>
      </c>
      <c r="E20" s="25" t="e">
        <f>D20*E21/D21</f>
        <v>#REF!</v>
      </c>
      <c r="F20" s="25" t="s">
        <v>133</v>
      </c>
      <c r="M20" s="42"/>
      <c r="N20" s="41"/>
      <c r="O20" s="60"/>
      <c r="P20" s="42"/>
      <c r="Q20" s="42"/>
      <c r="R20" s="59"/>
      <c r="S20" s="59"/>
      <c r="T20" s="59"/>
      <c r="U20" s="59"/>
      <c r="V20" s="59"/>
      <c r="W20" s="59"/>
      <c r="X20" s="42"/>
      <c r="Y20" s="42"/>
    </row>
    <row r="21" spans="1:38">
      <c r="C21" s="25" t="s">
        <v>132</v>
      </c>
      <c r="D21">
        <v>191</v>
      </c>
      <c r="E21" s="25">
        <f>D21*D19</f>
        <v>355.93411764705883</v>
      </c>
      <c r="M21" s="42"/>
      <c r="N21" s="42"/>
      <c r="O21" s="42"/>
      <c r="P21" s="42"/>
      <c r="Q21" s="42"/>
      <c r="R21" s="59"/>
      <c r="S21" s="59"/>
      <c r="T21" s="59"/>
      <c r="U21" s="59"/>
      <c r="V21" s="59"/>
      <c r="W21" s="59"/>
      <c r="X21" s="42"/>
      <c r="Y21" s="42"/>
    </row>
    <row r="22" spans="1:38">
      <c r="G22" s="1030" t="s">
        <v>125</v>
      </c>
      <c r="H22" s="1030"/>
      <c r="N22" s="41"/>
    </row>
    <row r="23" spans="1:38">
      <c r="G23" s="27" t="s">
        <v>122</v>
      </c>
      <c r="H23" s="27">
        <v>2707</v>
      </c>
    </row>
    <row r="24" spans="1:38">
      <c r="G24" s="27" t="s">
        <v>123</v>
      </c>
      <c r="H24" s="3">
        <v>241161</v>
      </c>
    </row>
    <row r="25" spans="1:38">
      <c r="A25" s="25"/>
      <c r="D25" s="25"/>
      <c r="G25" s="27" t="s">
        <v>99</v>
      </c>
      <c r="H25" s="47" t="e">
        <f>H24/#REF!*#REF!</f>
        <v>#REF!</v>
      </c>
      <c r="R25" s="25"/>
      <c r="S25" s="25"/>
      <c r="T25" s="25"/>
      <c r="U25" s="25"/>
      <c r="V25" s="25"/>
      <c r="W25" s="25"/>
    </row>
    <row r="29" spans="1:38">
      <c r="K29" s="25" t="s">
        <v>190</v>
      </c>
    </row>
  </sheetData>
  <mergeCells count="28">
    <mergeCell ref="G22:H22"/>
    <mergeCell ref="G5:H5"/>
    <mergeCell ref="A6:A7"/>
    <mergeCell ref="Q6:Q12"/>
    <mergeCell ref="A8:A9"/>
    <mergeCell ref="A10:A11"/>
    <mergeCell ref="C10:C11"/>
    <mergeCell ref="AG3:AI3"/>
    <mergeCell ref="I3:I4"/>
    <mergeCell ref="J3:J4"/>
    <mergeCell ref="K3:K4"/>
    <mergeCell ref="L3:L4"/>
    <mergeCell ref="M3:M4"/>
    <mergeCell ref="N3:N4"/>
    <mergeCell ref="O3:O4"/>
    <mergeCell ref="P3:P4"/>
    <mergeCell ref="Q3:Q4"/>
    <mergeCell ref="R3:X3"/>
    <mergeCell ref="K1:AE1"/>
    <mergeCell ref="K2:Q2"/>
    <mergeCell ref="Y2:AE3"/>
    <mergeCell ref="A3:A4"/>
    <mergeCell ref="B3:B4"/>
    <mergeCell ref="C3:C4"/>
    <mergeCell ref="D3:D4"/>
    <mergeCell ref="E3:E4"/>
    <mergeCell ref="F3:F4"/>
    <mergeCell ref="G3:H3"/>
  </mergeCells>
  <pageMargins left="0.7" right="0.7" top="0.75" bottom="0.75" header="0.3" footer="0.3"/>
  <pageSetup paperSize="9" scale="75" orientation="landscape" r:id="rId1"/>
  <drawing r:id="rId2"/>
  <legacyDrawing r:id="rId3"/>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B00-000000000000}">
          <x14:formula1>
            <xm:f>'Założenia,wskaźniki, listy'!$A$4:$A$10</xm:f>
          </x14:formula1>
          <xm:sqref>L6:L12 K6:K11</xm:sqref>
        </x14:dataValidation>
        <x14:dataValidation type="list" allowBlank="1" showInputMessage="1" showErrorMessage="1" xr:uid="{00000000-0002-0000-0B00-000002000000}">
          <x14:formula1>
            <xm:f>'Założenia,wskaźniki, listy'!$N$27:$N$29</xm:f>
          </x14:formula1>
          <xm:sqref>B6:B12</xm:sqref>
        </x14:dataValidation>
        <x14:dataValidation type="list" allowBlank="1" showInputMessage="1" showErrorMessage="1" xr:uid="{00000000-0002-0000-0B00-000003000000}">
          <x14:formula1>
            <xm:f>'Założenia,wskaźniki, listy'!$F$13:$F$15</xm:f>
          </x14:formula1>
          <xm:sqref>J6:J12</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32C210"/>
  </sheetPr>
  <dimension ref="A1:AI33"/>
  <sheetViews>
    <sheetView view="pageBreakPreview" zoomScale="85" zoomScaleNormal="85" zoomScaleSheetLayoutView="85" workbookViewId="0">
      <pane ySplit="5" topLeftCell="A6" activePane="bottomLeft" state="frozen"/>
      <selection activeCell="K1" sqref="K1"/>
      <selection pane="bottomLeft" activeCell="Y13" sqref="Y13:AE13"/>
    </sheetView>
  </sheetViews>
  <sheetFormatPr defaultColWidth="9" defaultRowHeight="13.8"/>
  <cols>
    <col min="1" max="1" width="5.3984375" style="38" hidden="1" customWidth="1"/>
    <col min="2" max="2" width="13.19921875" style="25" hidden="1" customWidth="1"/>
    <col min="3" max="3" width="19.8984375" style="25" hidden="1" customWidth="1"/>
    <col min="4" max="4" width="4.8984375" hidden="1" customWidth="1"/>
    <col min="5" max="5" width="8.3984375" style="25" hidden="1" customWidth="1"/>
    <col min="6" max="6" width="7.19921875" style="25" hidden="1" customWidth="1"/>
    <col min="7" max="8" width="9.19921875" style="25" hidden="1" customWidth="1"/>
    <col min="9" max="9" width="11.8984375" style="25" hidden="1" customWidth="1"/>
    <col min="10" max="10" width="10.09765625" style="25" hidden="1" customWidth="1"/>
    <col min="11" max="11" width="16.3984375" style="25" customWidth="1"/>
    <col min="12" max="13" width="9.09765625" style="25" hidden="1" customWidth="1"/>
    <col min="14" max="14" width="8.3984375" style="25" hidden="1" customWidth="1"/>
    <col min="15" max="15" width="10" style="25" hidden="1" customWidth="1"/>
    <col min="16" max="16" width="11.8984375" style="25" bestFit="1" customWidth="1"/>
    <col min="17" max="17" width="15.5" style="25" customWidth="1"/>
    <col min="18" max="18" width="6.8984375" style="29" hidden="1" customWidth="1"/>
    <col min="19" max="19" width="7.19921875" style="29" hidden="1" customWidth="1"/>
    <col min="20" max="20" width="9" style="29" hidden="1" customWidth="1"/>
    <col min="21" max="21" width="6" style="29" hidden="1" customWidth="1"/>
    <col min="22" max="22" width="6.8984375" style="29" hidden="1" customWidth="1"/>
    <col min="23" max="23" width="6" style="29" hidden="1" customWidth="1"/>
    <col min="24" max="24" width="6.59765625" style="25" hidden="1" customWidth="1"/>
    <col min="25" max="26" width="8.5" style="25" bestFit="1" customWidth="1"/>
    <col min="27" max="27" width="11.59765625" style="25" customWidth="1"/>
    <col min="28" max="28" width="7.5" style="25" bestFit="1" customWidth="1"/>
    <col min="29" max="30" width="8.5" style="25" bestFit="1" customWidth="1"/>
    <col min="31" max="31" width="9.5" style="25" bestFit="1" customWidth="1"/>
    <col min="32" max="32" width="8.19921875" style="25" customWidth="1"/>
    <col min="33" max="33" width="19.8984375" style="25" customWidth="1"/>
    <col min="34" max="34" width="13" style="25" customWidth="1"/>
    <col min="35" max="16384" width="9" style="25"/>
  </cols>
  <sheetData>
    <row r="1" spans="1:35">
      <c r="K1" s="834" t="s">
        <v>644</v>
      </c>
      <c r="L1" s="834"/>
      <c r="M1" s="834"/>
      <c r="N1" s="834"/>
      <c r="O1" s="834"/>
      <c r="P1" s="834"/>
      <c r="Q1" s="834"/>
      <c r="R1" s="834"/>
      <c r="S1" s="834"/>
      <c r="T1" s="834"/>
      <c r="U1" s="834"/>
      <c r="V1" s="834"/>
      <c r="W1" s="834"/>
      <c r="X1" s="834"/>
      <c r="Y1" s="834"/>
      <c r="Z1" s="834"/>
      <c r="AA1" s="834"/>
      <c r="AB1" s="834"/>
      <c r="AC1" s="834"/>
      <c r="AD1" s="834"/>
      <c r="AE1" s="834"/>
    </row>
    <row r="2" spans="1:35" ht="14.4" thickBot="1">
      <c r="K2" s="1026" t="s">
        <v>188</v>
      </c>
      <c r="L2" s="1026"/>
      <c r="M2" s="1026"/>
      <c r="N2" s="1026"/>
      <c r="O2" s="1026"/>
      <c r="P2" s="1026"/>
      <c r="Q2" s="1026"/>
      <c r="R2" s="111"/>
      <c r="S2" s="111"/>
      <c r="T2" s="111"/>
      <c r="U2" s="111"/>
      <c r="V2" s="111"/>
      <c r="W2" s="111"/>
      <c r="X2" s="111"/>
      <c r="Y2" s="1016" t="s">
        <v>187</v>
      </c>
      <c r="Z2" s="1016"/>
      <c r="AA2" s="1016"/>
      <c r="AB2" s="1016"/>
      <c r="AC2" s="1016"/>
      <c r="AD2" s="1016"/>
      <c r="AE2" s="1016"/>
    </row>
    <row r="3" spans="1:35" s="32" customFormat="1" ht="46.5" customHeight="1" thickTop="1">
      <c r="A3" s="1040" t="s">
        <v>4</v>
      </c>
      <c r="B3" s="1042" t="s">
        <v>20</v>
      </c>
      <c r="C3" s="1042" t="s">
        <v>101</v>
      </c>
      <c r="D3" s="1023" t="s">
        <v>102</v>
      </c>
      <c r="E3" s="1023" t="s">
        <v>24</v>
      </c>
      <c r="F3" s="1023" t="s">
        <v>105</v>
      </c>
      <c r="G3" s="1044" t="s">
        <v>5</v>
      </c>
      <c r="H3" s="1045"/>
      <c r="I3" s="1023" t="s">
        <v>34</v>
      </c>
      <c r="J3" s="1023" t="s">
        <v>77</v>
      </c>
      <c r="K3" s="1017" t="s">
        <v>25</v>
      </c>
      <c r="L3" s="1018" t="s">
        <v>78</v>
      </c>
      <c r="M3" s="1024" t="s">
        <v>118</v>
      </c>
      <c r="N3" s="1017" t="s">
        <v>47</v>
      </c>
      <c r="O3" s="1017" t="s">
        <v>96</v>
      </c>
      <c r="P3" s="1017" t="s">
        <v>403</v>
      </c>
      <c r="Q3" s="1018" t="s">
        <v>374</v>
      </c>
      <c r="R3" s="1016" t="s">
        <v>556</v>
      </c>
      <c r="S3" s="1016"/>
      <c r="T3" s="1016"/>
      <c r="U3" s="1016"/>
      <c r="V3" s="1016"/>
      <c r="W3" s="1016"/>
      <c r="X3" s="1016"/>
      <c r="Y3" s="1016"/>
      <c r="Z3" s="1016"/>
      <c r="AA3" s="1016"/>
      <c r="AB3" s="1016"/>
      <c r="AC3" s="1016"/>
      <c r="AD3" s="1016"/>
      <c r="AE3" s="1016"/>
      <c r="AG3" s="1031" t="s">
        <v>549</v>
      </c>
      <c r="AH3" s="1032"/>
      <c r="AI3" s="1033"/>
    </row>
    <row r="4" spans="1:35" s="32" customFormat="1" ht="13.2">
      <c r="A4" s="1041"/>
      <c r="B4" s="1043"/>
      <c r="C4" s="1043"/>
      <c r="D4" s="1019"/>
      <c r="E4" s="1019"/>
      <c r="F4" s="1019"/>
      <c r="G4" s="93" t="s">
        <v>46</v>
      </c>
      <c r="H4" s="93"/>
      <c r="I4" s="1019"/>
      <c r="J4" s="1019"/>
      <c r="K4" s="1017"/>
      <c r="L4" s="1019"/>
      <c r="M4" s="1025"/>
      <c r="N4" s="1017"/>
      <c r="O4" s="1017"/>
      <c r="P4" s="1017"/>
      <c r="Q4" s="1019"/>
      <c r="R4" s="33" t="s">
        <v>66</v>
      </c>
      <c r="S4" s="33" t="s">
        <v>67</v>
      </c>
      <c r="T4" s="33" t="s">
        <v>68</v>
      </c>
      <c r="U4" s="33" t="s">
        <v>69</v>
      </c>
      <c r="V4" s="33" t="s">
        <v>70</v>
      </c>
      <c r="W4" s="33" t="s">
        <v>71</v>
      </c>
      <c r="X4" s="34" t="s">
        <v>72</v>
      </c>
      <c r="Y4" s="112" t="s">
        <v>66</v>
      </c>
      <c r="Z4" s="112" t="s">
        <v>67</v>
      </c>
      <c r="AA4" s="112" t="s">
        <v>570</v>
      </c>
      <c r="AB4" s="112" t="s">
        <v>571</v>
      </c>
      <c r="AC4" s="112" t="s">
        <v>70</v>
      </c>
      <c r="AD4" s="113" t="s">
        <v>71</v>
      </c>
      <c r="AE4" s="112" t="s">
        <v>72</v>
      </c>
      <c r="AG4" s="36" t="s">
        <v>194</v>
      </c>
      <c r="AH4" s="36" t="s">
        <v>375</v>
      </c>
      <c r="AI4" s="36" t="s">
        <v>193</v>
      </c>
    </row>
    <row r="5" spans="1:35" s="32" customFormat="1">
      <c r="A5" s="37">
        <v>1</v>
      </c>
      <c r="B5" s="35">
        <v>2</v>
      </c>
      <c r="C5" s="35">
        <v>3</v>
      </c>
      <c r="D5"/>
      <c r="E5" s="35">
        <v>4</v>
      </c>
      <c r="F5" s="35">
        <v>4</v>
      </c>
      <c r="G5" s="1034">
        <v>7</v>
      </c>
      <c r="H5" s="1035"/>
      <c r="I5" s="35">
        <v>5</v>
      </c>
      <c r="J5" s="35">
        <v>6</v>
      </c>
      <c r="K5" s="36">
        <v>1</v>
      </c>
      <c r="L5" s="36">
        <v>11</v>
      </c>
      <c r="M5" s="43">
        <v>11</v>
      </c>
      <c r="N5" s="36">
        <v>12</v>
      </c>
      <c r="O5" s="36">
        <v>13</v>
      </c>
      <c r="P5" s="36">
        <v>2</v>
      </c>
      <c r="Q5" s="36">
        <v>3</v>
      </c>
      <c r="R5" s="1112" t="s">
        <v>518</v>
      </c>
      <c r="S5" s="1113"/>
      <c r="T5" s="1113"/>
      <c r="U5" s="1113"/>
      <c r="V5" s="1113"/>
      <c r="W5" s="1113"/>
      <c r="X5" s="1114"/>
      <c r="Y5" s="36">
        <f t="shared" ref="Y5" si="0">Q5+1</f>
        <v>4</v>
      </c>
      <c r="Z5" s="36">
        <f>Y5+1</f>
        <v>5</v>
      </c>
      <c r="AA5" s="36">
        <f t="shared" ref="AA5:AE5" si="1">Z5+1</f>
        <v>6</v>
      </c>
      <c r="AB5" s="36">
        <f t="shared" si="1"/>
        <v>7</v>
      </c>
      <c r="AC5" s="36">
        <f t="shared" si="1"/>
        <v>8</v>
      </c>
      <c r="AD5" s="36">
        <f t="shared" si="1"/>
        <v>9</v>
      </c>
      <c r="AE5" s="36">
        <f t="shared" si="1"/>
        <v>10</v>
      </c>
      <c r="AG5" s="813" t="s">
        <v>8</v>
      </c>
      <c r="AH5" s="374">
        <f>AI5*$AH$12</f>
        <v>1973.5249375151907</v>
      </c>
      <c r="AI5" s="489">
        <v>0.8</v>
      </c>
    </row>
    <row r="6" spans="1:35">
      <c r="A6" s="1036">
        <v>1</v>
      </c>
      <c r="B6" s="27" t="s">
        <v>21</v>
      </c>
      <c r="C6" s="28" t="s">
        <v>106</v>
      </c>
      <c r="D6" s="39">
        <v>90</v>
      </c>
      <c r="E6" s="28">
        <v>1955</v>
      </c>
      <c r="F6" s="26">
        <v>80</v>
      </c>
      <c r="G6" s="26">
        <v>3</v>
      </c>
      <c r="H6" s="26"/>
      <c r="I6" s="26">
        <f>IF(E6&lt;=1966,'Założenia,wskaźniki, listy'!$H$4,IF(E6&gt;1966,IF(E6&lt;=1985,'Założenia,wskaźniki, listy'!$H$5,IF(E6&gt;1985,IF(E6&lt;=1992,'Założenia,wskaźniki, listy'!$H$6,IF(E6&gt;1992,IF(E6&lt;=1996,'Założenia,wskaźniki, listy'!$H$7,IF(E6&gt;1996,IF(E6&lt;=2013,'Założenia,wskaźniki, listy'!$H$8)))))))))</f>
        <v>290</v>
      </c>
      <c r="J6" s="28" t="s">
        <v>33</v>
      </c>
      <c r="K6" s="28" t="s">
        <v>8</v>
      </c>
      <c r="L6" s="26"/>
      <c r="M6" s="45"/>
      <c r="N6" s="30"/>
      <c r="O6" s="30"/>
      <c r="P6" s="62">
        <f>AH5</f>
        <v>1973.5249375151907</v>
      </c>
      <c r="Q6" s="1060"/>
      <c r="R6" s="346">
        <f>IF(K6="węgiel",P6*'Założenia,wskaźniki, listy'!$C$44,IF(K6="gaz",P6*'Założenia,wskaźniki, listy'!$D$44,IF(K6="drewno",P6*'Założenia,wskaźniki, listy'!$E$44,IF(K6="pelet",P6*'Założenia,wskaźniki, listy'!$F$44,IF(K6="olej opałowy",P6*'Założenia,wskaźniki, listy'!$G$44,IF(K6="sieć ciepłownicza",0,IF(K6="prąd",0,0)))))))</f>
        <v>0.44404311094091792</v>
      </c>
      <c r="S6" s="346">
        <f>IF(K6="węgiel",P6*'Założenia,wskaźniki, listy'!$C$45,IF(K6="gaz",P6*'Założenia,wskaźniki, listy'!$D$45,IF(K6="drewno",P6*'Założenia,wskaźniki, listy'!$E$45,IF(K6="pelet",P6*'Założenia,wskaźniki, listy'!$F$45,IF(K6="olej opałowy",P6*'Założenia,wskaźniki, listy'!$G$45,IF(K6="sieć ciepłownicza",0,IF(K6="prąd",0,0)))))))</f>
        <v>0.39667851244055335</v>
      </c>
      <c r="T6" s="346">
        <f>IF(K6="węgiel",P6*'Założenia,wskaźniki, listy'!$C$46,IF(K6="gaz",P6*'Założenia,wskaźniki, listy'!$D$46,IF(K6="drewno",P6*'Założenia,wskaźniki, listy'!$E$46,IF(K6="pelet",P6*'Założenia,wskaźniki, listy'!$F$46,IF(K6="olej opałowy",P6*'Założenia,wskaźniki, listy'!$G$46,IF(K6="sieć ciepłownicza",P6*'Założenia,wskaźniki, listy'!$H$46,IF(K6="prąd",0,0)))))))</f>
        <v>184.99822764267395</v>
      </c>
      <c r="U6" s="346">
        <f>IF(K6="węgiel",P6*'Założenia,wskaźniki, listy'!$C$47,IF(K6="gaz",P6*'Założenia,wskaźniki, listy'!$D$47,IF(K6="drewno",P6*'Założenia,wskaźniki, listy'!$E$47,IF(K6="pelet",P6*'Założenia,wskaźniki, listy'!$F$47,IF(K6="olej opałowy",P6*'Założenia,wskaźniki, listy'!$G$47,IF(K6="sieć ciepłownicza",0,IF(K6="prąd",0,0)))))))</f>
        <v>5.3285173312910146E-4</v>
      </c>
      <c r="V6" s="346">
        <f>IF(K6="węgiel",P6*'Założenia,wskaźniki, listy'!$C$48, IF(K6="gaz",P6*'Założenia,wskaźniki, listy'!$D$48,IF(K6="drewno",P6*'Założenia,wskaźniki, listy'!$E$48,IF(K6="pelet",P6*'Założenia,wskaźniki, listy'!$F$48,IF(K6="olej opałowy",P6*'Założenia,wskaźniki, listy'!$G$48,IF(K6="sieć ciepłownicza",0,IF(K6="prąd",0,0)))))))</f>
        <v>1.7761724437636717</v>
      </c>
      <c r="W6" s="346">
        <f>IF(K6="węgiel",P6*'Założenia,wskaźniki, listy'!$C$49, IF(K6="gaz",P6*'Założenia,wskaźniki, listy'!$D$49, IF(K6="drewno",P6*'Założenia,wskaźniki, listy'!$E$49,IF(K6="pelet",P6*'Założenia,wskaźniki, listy'!$F$49,IF(K6="olej opałowy",P6*'Założenia,wskaźniki, listy'!$G$49,IF(K6="sieć ciepłownicza",0,IF(K6="prąd",0,0)))))))</f>
        <v>0.31181694012740013</v>
      </c>
      <c r="X6" s="346">
        <f>IF(K6="węgiel",P6*'Założenia,wskaźniki, listy'!$C$50,IF(K6="gaz",P6*'Założenia,wskaźniki, listy'!$D$50, IF(K6="drewno",P6*'Założenia,wskaźniki, listy'!$E$50,IF(K6="pelet",P6*'Założenia,wskaźniki, listy'!$F$50,IF(K6="pelet",P6*'Założenia,wskaźniki, listy'!$F$50,IF(K6="olej opałowy",P6*'Założenia,wskaźniki, listy'!$G$50,IF(K6="sieć ciepłownicza",0,IF(K6="prąd",0,0))))))))</f>
        <v>3.9699875810542502</v>
      </c>
      <c r="Y6" s="31">
        <f>R6</f>
        <v>0.44404311094091792</v>
      </c>
      <c r="Z6" s="31">
        <f>S6</f>
        <v>0.39667851244055335</v>
      </c>
      <c r="AA6" s="31">
        <f>T6</f>
        <v>184.99822764267395</v>
      </c>
      <c r="AB6" s="31">
        <f>U6</f>
        <v>5.3285173312910146E-4</v>
      </c>
      <c r="AC6" s="31">
        <f t="shared" ref="AC6:AE6" si="2">V6</f>
        <v>1.7761724437636717</v>
      </c>
      <c r="AD6" s="31">
        <f t="shared" si="2"/>
        <v>0.31181694012740013</v>
      </c>
      <c r="AE6" s="31">
        <f t="shared" si="2"/>
        <v>3.9699875810542502</v>
      </c>
      <c r="AG6" s="813" t="s">
        <v>26</v>
      </c>
      <c r="AH6" s="374">
        <f t="shared" ref="AH6:AH8" si="3">AI6*$AH$12</f>
        <v>0</v>
      </c>
      <c r="AI6" s="489"/>
    </row>
    <row r="7" spans="1:35" ht="15" customHeight="1">
      <c r="A7" s="1037"/>
      <c r="B7" s="27"/>
      <c r="C7" s="28"/>
      <c r="E7" s="28"/>
      <c r="F7" s="26"/>
      <c r="G7" s="26"/>
      <c r="H7" s="26"/>
      <c r="I7" s="26">
        <f>IF(E7&lt;=1966,'Założenia,wskaźniki, listy'!$H$4,IF(E7&gt;1966,IF(E7&lt;=1985,'Założenia,wskaźniki, listy'!$H$5,IF(E7&gt;1985,IF(E7&lt;=1992,'Założenia,wskaźniki, listy'!$H$6,IF(E7&gt;1992,IF(E7&lt;=1996,'Założenia,wskaźniki, listy'!$H$7,IF(E7&gt;1996,IF(E7&lt;=2013,'Założenia,wskaźniki, listy'!$H$8)))))))))</f>
        <v>290</v>
      </c>
      <c r="J7" s="28"/>
      <c r="K7" s="28" t="s">
        <v>26</v>
      </c>
      <c r="L7" s="26"/>
      <c r="M7" s="45"/>
      <c r="N7" s="30"/>
      <c r="O7" s="30"/>
      <c r="P7" s="62">
        <f t="shared" ref="P7:P11" si="4">AH6</f>
        <v>0</v>
      </c>
      <c r="Q7" s="1061"/>
      <c r="R7" s="346">
        <f>IF(K7="węgiel",P7*'Założenia,wskaźniki, listy'!$C$44,IF(K7="gaz",P7*'Założenia,wskaźniki, listy'!$D$44,IF(K7="drewno",P7*'Założenia,wskaźniki, listy'!$E$44,IF(K7="pelet",P7*'Założenia,wskaźniki, listy'!$F$44,IF(K7="olej opałowy",P7*'Założenia,wskaźniki, listy'!$G$44,IF(K7="sieć ciepłownicza",0,IF(K7="prąd",0,0)))))))</f>
        <v>0</v>
      </c>
      <c r="S7" s="346">
        <f>IF(K7="węgiel",P7*'Założenia,wskaźniki, listy'!$C$45,IF(K7="gaz",P7*'Założenia,wskaźniki, listy'!$D$45,IF(K7="drewno",P7*'Założenia,wskaźniki, listy'!$E$45,IF(K7="pelet",P7*'Założenia,wskaźniki, listy'!$F$45,IF(K7="olej opałowy",P7*'Założenia,wskaźniki, listy'!$G$45,IF(K7="sieć ciepłownicza",0,IF(K7="prąd",0,0)))))))</f>
        <v>0</v>
      </c>
      <c r="T7" s="346">
        <f>IF(K7="węgiel",P7*'Założenia,wskaźniki, listy'!$C$46,IF(K7="gaz",P7*'Założenia,wskaźniki, listy'!$D$46,IF(K7="drewno",P7*'Założenia,wskaźniki, listy'!$E$46,IF(K7="pelet",P7*'Założenia,wskaźniki, listy'!$F$46,IF(K7="olej opałowy",P7*'Założenia,wskaźniki, listy'!$G$46,IF(K7="sieć ciepłownicza",P7*'Założenia,wskaźniki, listy'!$H$46,IF(K7="prąd",0,0)))))))</f>
        <v>0</v>
      </c>
      <c r="U7" s="346">
        <f>IF(K7="węgiel",P7*'Założenia,wskaźniki, listy'!$C$47,IF(K7="gaz",P7*'Założenia,wskaźniki, listy'!$D$47,IF(K7="drewno",P7*'Założenia,wskaźniki, listy'!$E$47,IF(K7="pelet",P7*'Założenia,wskaźniki, listy'!$F$47,IF(K7="olej opałowy",P7*'Założenia,wskaźniki, listy'!$G$47,IF(K7="sieć ciepłownicza",0,IF(K7="prąd",0,0)))))))</f>
        <v>0</v>
      </c>
      <c r="V7" s="346">
        <f>IF(K7="węgiel",P7*'Założenia,wskaźniki, listy'!$C$48, IF(K7="gaz",P7*'Założenia,wskaźniki, listy'!$D$48,IF(K7="drewno",P7*'Założenia,wskaźniki, listy'!$E$48,IF(K7="pelet",P7*'Założenia,wskaźniki, listy'!$F$48,IF(K7="olej opałowy",P7*'Założenia,wskaźniki, listy'!$G$48,IF(K7="sieć ciepłownicza",0,IF(K7="prąd",0,0)))))))</f>
        <v>0</v>
      </c>
      <c r="W7" s="346">
        <f>IF(K7="węgiel",P7*'Założenia,wskaźniki, listy'!$C$49, IF(K7="gaz",P7*'Założenia,wskaźniki, listy'!$D$49, IF(K7="drewno",P7*'Założenia,wskaźniki, listy'!$E$49,IF(K7="pelet",P7*'Założenia,wskaźniki, listy'!$F$49,IF(K7="olej opałowy",P7*'Założenia,wskaźniki, listy'!$G$49,IF(K7="sieć ciepłownicza",0,IF(K7="prąd",0,0)))))))</f>
        <v>0</v>
      </c>
      <c r="X7" s="346">
        <f>IF(K7="węgiel",P7*'Założenia,wskaźniki, listy'!$C$50,IF(K7="gaz",P7*'Założenia,wskaźniki, listy'!$D$50, IF(K7="drewno",P7*'Założenia,wskaźniki, listy'!$E$50,IF(K7="pelet",P7*'Założenia,wskaźniki, listy'!$F$50,IF(K7="pelet",P7*'Założenia,wskaźniki, listy'!$F$50,IF(K7="olej opałowy",P7*'Założenia,wskaźniki, listy'!$G$50,IF(K7="sieć ciepłownicza",0,IF(K7="prąd",0,0))))))))</f>
        <v>0</v>
      </c>
      <c r="Y7" s="31">
        <f t="shared" ref="Y7:Y12" si="5">R7</f>
        <v>0</v>
      </c>
      <c r="Z7" s="31">
        <f t="shared" ref="Z7:Z12" si="6">S7</f>
        <v>0</v>
      </c>
      <c r="AA7" s="31">
        <f>T7</f>
        <v>0</v>
      </c>
      <c r="AB7" s="31">
        <f t="shared" ref="AB7:AB12" si="7">U7</f>
        <v>0</v>
      </c>
      <c r="AC7" s="31">
        <f t="shared" ref="AC7:AC12" si="8">V7</f>
        <v>0</v>
      </c>
      <c r="AD7" s="31">
        <f t="shared" ref="AD7:AD12" si="9">W7</f>
        <v>0</v>
      </c>
      <c r="AE7" s="31">
        <f t="shared" ref="AE7:AE12" si="10">X7</f>
        <v>0</v>
      </c>
      <c r="AG7" s="813" t="s">
        <v>79</v>
      </c>
      <c r="AH7" s="374">
        <f t="shared" si="3"/>
        <v>493.38123437879767</v>
      </c>
      <c r="AI7" s="489">
        <v>0.2</v>
      </c>
    </row>
    <row r="8" spans="1:35">
      <c r="A8" s="1036">
        <v>2</v>
      </c>
      <c r="B8" s="27" t="s">
        <v>21</v>
      </c>
      <c r="C8" s="28" t="s">
        <v>107</v>
      </c>
      <c r="D8">
        <v>94</v>
      </c>
      <c r="E8" s="28">
        <v>1991</v>
      </c>
      <c r="F8" s="26">
        <v>200</v>
      </c>
      <c r="G8" s="26">
        <v>3</v>
      </c>
      <c r="H8" s="26"/>
      <c r="I8" s="26">
        <f>IF(E8&lt;=1966,'Założenia,wskaźniki, listy'!$H$4,IF(E8&gt;1966,IF(E8&lt;=1985,'Założenia,wskaźniki, listy'!$H$5,IF(E8&gt;1985,IF(E8&lt;=1992,'Założenia,wskaźniki, listy'!$H$6,IF(E8&gt;1992,IF(E8&lt;=1996,'Założenia,wskaźniki, listy'!$H$7,IF(E8&gt;1996,IF(E8&lt;=2013,'Założenia,wskaźniki, listy'!$H$8)))))))))</f>
        <v>175</v>
      </c>
      <c r="J8" s="28" t="s">
        <v>32</v>
      </c>
      <c r="K8" s="28" t="s">
        <v>79</v>
      </c>
      <c r="L8" s="26"/>
      <c r="M8" s="45"/>
      <c r="N8" s="30"/>
      <c r="O8" s="30"/>
      <c r="P8" s="62">
        <f t="shared" si="4"/>
        <v>493.38123437879767</v>
      </c>
      <c r="Q8" s="1061"/>
      <c r="R8" s="346">
        <f>IF(K8="węgiel",P8*'Założenia,wskaźniki, listy'!$C$44,IF(K8="gaz",P8*'Założenia,wskaźniki, listy'!$D$44,IF(K8="drewno",P8*'Założenia,wskaźniki, listy'!$E$44,IF(K8="pelet",P8*'Założenia,wskaźniki, listy'!$F$44,IF(K8="olej opałowy",P8*'Założenia,wskaźniki, listy'!$G$44,IF(K8="sieć ciepłownicza",0,IF(K8="prąd",0,0)))))))</f>
        <v>0.2368229925018229</v>
      </c>
      <c r="S8" s="346">
        <f>IF(K8="węgiel",P8*'Założenia,wskaźniki, listy'!$C$45,IF(K8="gaz",P8*'Założenia,wskaźniki, listy'!$D$45,IF(K8="drewno",P8*'Założenia,wskaźniki, listy'!$E$45,IF(K8="pelet",P8*'Założenia,wskaźniki, listy'!$F$45,IF(K8="olej opałowy",P8*'Założenia,wskaźniki, listy'!$G$45,IF(K8="sieć ciepłownicza",0,IF(K8="prąd",0,0)))))))</f>
        <v>0.23188918015803489</v>
      </c>
      <c r="T8" s="346">
        <f>IF(K8="węgiel",P8*'Założenia,wskaźniki, listy'!$C$46,IF(K8="gaz",P8*'Założenia,wskaźniki, listy'!$D$46,IF(K8="drewno",P8*'Założenia,wskaźniki, listy'!$E$46,IF(K8="pelet",P8*'Założenia,wskaźniki, listy'!$F$46,IF(K8="olej opałowy",P8*'Założenia,wskaźniki, listy'!$G$46,IF(K8="sieć ciepłownicza",P8*'Założenia,wskaźniki, listy'!$H$46,IF(K8="prąd",0,0)))))))</f>
        <v>0</v>
      </c>
      <c r="U8" s="346">
        <f>IF(K8="węgiel",P8*'Założenia,wskaźniki, listy'!$C$47,IF(K8="gaz",P8*'Założenia,wskaźniki, listy'!$D$47,IF(K8="drewno",P8*'Założenia,wskaźniki, listy'!$E$47,IF(K8="pelet",P8*'Założenia,wskaźniki, listy'!$F$47,IF(K8="olej opałowy",P8*'Założenia,wskaźniki, listy'!$G$47,IF(K8="sieć ciepłownicza",0,IF(K8="prąd",0,0)))))))</f>
        <v>5.9699129359834522E-5</v>
      </c>
      <c r="V8" s="346">
        <f>IF(K8="węgiel",P8*'Założenia,wskaźniki, listy'!$C$48, IF(K8="gaz",P8*'Założenia,wskaźniki, listy'!$D$48,IF(K8="drewno",P8*'Założenia,wskaźniki, listy'!$E$48,IF(K8="pelet",P8*'Założenia,wskaźniki, listy'!$F$48,IF(K8="olej opałowy",P8*'Założenia,wskaźniki, listy'!$G$48,IF(K8="sieć ciepłownicza",0,IF(K8="prąd",0,0)))))))</f>
        <v>5.4271935781667743E-3</v>
      </c>
      <c r="W8" s="346">
        <f>IF(K8="węgiel",P8*'Założenia,wskaźniki, listy'!$C$49, IF(K8="gaz",P8*'Założenia,wskaźniki, listy'!$D$49, IF(K8="drewno",P8*'Założenia,wskaźniki, listy'!$E$49,IF(K8="pelet",P8*'Założenia,wskaźniki, listy'!$F$49,IF(K8="olej opałowy",P8*'Założenia,wskaźniki, listy'!$G$49,IF(K8="sieć ciepłownicza",0,IF(K8="prąd",0,0)))))))</f>
        <v>3.9470498750303819E-2</v>
      </c>
      <c r="X8" s="346">
        <f>IF(K8="węgiel",P8*'Założenia,wskaźniki, listy'!$C$50,IF(K8="gaz",P8*'Założenia,wskaźniki, listy'!$D$50, IF(K8="drewno",P8*'Założenia,wskaźniki, listy'!$E$50,IF(K8="pelet",P8*'Założenia,wskaźniki, listy'!$F$50,IF(K8="pelet",P8*'Założenia,wskaźniki, listy'!$F$50,IF(K8="olej opałowy",P8*'Założenia,wskaźniki, listy'!$G$50,IF(K8="sieć ciepłownicza",0,IF(K8="prąd",0,0))))))))</f>
        <v>8.8512593447556298E-2</v>
      </c>
      <c r="Y8" s="31">
        <f t="shared" si="5"/>
        <v>0.2368229925018229</v>
      </c>
      <c r="Z8" s="31">
        <f t="shared" si="6"/>
        <v>0.23188918015803489</v>
      </c>
      <c r="AA8" s="31">
        <f>T8+Q8*'Założenia,wskaźniki, listy'!$J$46</f>
        <v>0</v>
      </c>
      <c r="AB8" s="31">
        <f t="shared" si="7"/>
        <v>5.9699129359834522E-5</v>
      </c>
      <c r="AC8" s="31">
        <f t="shared" si="8"/>
        <v>5.4271935781667743E-3</v>
      </c>
      <c r="AD8" s="31">
        <f t="shared" si="9"/>
        <v>3.9470498750303819E-2</v>
      </c>
      <c r="AE8" s="31">
        <f t="shared" si="10"/>
        <v>8.8512593447556298E-2</v>
      </c>
      <c r="AG8" s="813" t="s">
        <v>27</v>
      </c>
      <c r="AH8" s="374">
        <f t="shared" si="3"/>
        <v>0</v>
      </c>
      <c r="AI8" s="489"/>
    </row>
    <row r="9" spans="1:35">
      <c r="A9" s="1037"/>
      <c r="B9" s="27"/>
      <c r="C9" s="28"/>
      <c r="E9" s="28"/>
      <c r="F9" s="26"/>
      <c r="G9" s="26"/>
      <c r="H9" s="26"/>
      <c r="I9" s="26">
        <f>IF(E9&lt;=1966,'Założenia,wskaźniki, listy'!$H$4,IF(E9&gt;1966,IF(E9&lt;=1985,'Założenia,wskaźniki, listy'!$H$5,IF(E9&gt;1985,IF(E9&lt;=1992,'Założenia,wskaźniki, listy'!$H$6,IF(E9&gt;1992,IF(E9&lt;=1996,'Założenia,wskaźniki, listy'!$H$7,IF(E9&gt;1996,IF(E9&lt;=2013,'Założenia,wskaźniki, listy'!$H$8)))))))))</f>
        <v>290</v>
      </c>
      <c r="J9" s="28"/>
      <c r="K9" s="28" t="s">
        <v>27</v>
      </c>
      <c r="L9" s="26"/>
      <c r="M9" s="45"/>
      <c r="N9" s="30"/>
      <c r="O9" s="30"/>
      <c r="P9" s="62">
        <f t="shared" si="4"/>
        <v>0</v>
      </c>
      <c r="Q9" s="1061"/>
      <c r="R9" s="346">
        <f>IF(K9="węgiel",P9*'Założenia,wskaźniki, listy'!$C$44,IF(K9="gaz",P9*'Założenia,wskaźniki, listy'!$D$44,IF(K9="drewno",P9*'Założenia,wskaźniki, listy'!$E$44,IF(K9="pelet",P9*'Założenia,wskaźniki, listy'!$F$44,IF(K9="olej opałowy",P9*'Założenia,wskaźniki, listy'!$G$44,IF(K9="sieć ciepłownicza",0,IF(K9="prąd",0,0)))))))</f>
        <v>0</v>
      </c>
      <c r="S9" s="346">
        <f>IF(K9="węgiel",P9*'Założenia,wskaźniki, listy'!$C$45,IF(K9="gaz",P9*'Założenia,wskaźniki, listy'!$D$45,IF(K9="drewno",P9*'Założenia,wskaźniki, listy'!$E$45,IF(K9="pelet",P9*'Założenia,wskaźniki, listy'!$F$45,IF(K9="olej opałowy",P9*'Założenia,wskaźniki, listy'!$G$45,IF(K9="sieć ciepłownicza",0,IF(K9="prąd",0,0)))))))</f>
        <v>0</v>
      </c>
      <c r="T9" s="346">
        <f>IF(K9="węgiel",P9*'Założenia,wskaźniki, listy'!$C$46,IF(K9="gaz",P9*'Założenia,wskaźniki, listy'!$D$46,IF(K9="drewno",P9*'Założenia,wskaźniki, listy'!$E$46,IF(K9="pelet",P9*'Założenia,wskaźniki, listy'!$F$46,IF(K9="olej opałowy",P9*'Założenia,wskaźniki, listy'!$G$46,IF(K9="sieć ciepłownicza",P9*'Założenia,wskaźniki, listy'!$H$46,IF(K9="prąd",0,0)))))))</f>
        <v>0</v>
      </c>
      <c r="U9" s="346">
        <f>IF(K9="węgiel",P9*'Założenia,wskaźniki, listy'!$C$47,IF(K9="gaz",P9*'Założenia,wskaźniki, listy'!$D$47,IF(K9="drewno",P9*'Założenia,wskaźniki, listy'!$E$47,IF(K9="pelet",P9*'Założenia,wskaźniki, listy'!$F$47,IF(K9="olej opałowy",P9*'Założenia,wskaźniki, listy'!$G$47,IF(K9="sieć ciepłownicza",0,IF(K9="prąd",0,0)))))))</f>
        <v>0</v>
      </c>
      <c r="V9" s="346">
        <f>IF(K9="węgiel",P9*'Założenia,wskaźniki, listy'!$C$48, IF(K9="gaz",P9*'Założenia,wskaźniki, listy'!$D$48,IF(K9="drewno",P9*'Założenia,wskaźniki, listy'!$E$48,IF(K9="pelet",P9*'Założenia,wskaźniki, listy'!$F$48,IF(K9="olej opałowy",P9*'Założenia,wskaźniki, listy'!$G$48,IF(K9="sieć ciepłownicza",0,IF(K9="prąd",0,0)))))))</f>
        <v>0</v>
      </c>
      <c r="W9" s="346">
        <f>IF(K9="węgiel",P9*'Założenia,wskaźniki, listy'!$C$49, IF(K9="gaz",P9*'Założenia,wskaźniki, listy'!$D$49, IF(K9="drewno",P9*'Założenia,wskaźniki, listy'!$E$49,IF(K9="pelet",P9*'Założenia,wskaźniki, listy'!$F$49,IF(K9="olej opałowy",P9*'Założenia,wskaźniki, listy'!$G$49,IF(K9="sieć ciepłownicza",0,IF(K9="prąd",0,0)))))))</f>
        <v>0</v>
      </c>
      <c r="X9" s="346">
        <f>IF(K9="węgiel",P9*'Założenia,wskaźniki, listy'!$C$50,IF(K9="gaz",P9*'Założenia,wskaźniki, listy'!$D$50, IF(K9="drewno",P9*'Założenia,wskaźniki, listy'!$E$50,IF(K9="pelet",P9*'Założenia,wskaźniki, listy'!$F$50,IF(K9="pelet",P9*'Założenia,wskaźniki, listy'!$F$50,IF(K9="olej opałowy",P9*'Założenia,wskaźniki, listy'!$G$50,IF(K9="sieć ciepłownicza",0,IF(K9="prąd",0,0))))))))</f>
        <v>0</v>
      </c>
      <c r="Y9" s="31">
        <f t="shared" si="5"/>
        <v>0</v>
      </c>
      <c r="Z9" s="31">
        <f t="shared" si="6"/>
        <v>0</v>
      </c>
      <c r="AA9" s="31">
        <f>T9+Q9*'Założenia,wskaźniki, listy'!$J$46</f>
        <v>0</v>
      </c>
      <c r="AB9" s="31">
        <f t="shared" si="7"/>
        <v>0</v>
      </c>
      <c r="AC9" s="31">
        <f t="shared" si="8"/>
        <v>0</v>
      </c>
      <c r="AD9" s="31">
        <f t="shared" si="9"/>
        <v>0</v>
      </c>
      <c r="AE9" s="31">
        <f t="shared" si="10"/>
        <v>0</v>
      </c>
      <c r="AG9" s="813" t="s">
        <v>7</v>
      </c>
      <c r="AH9" s="374"/>
      <c r="AI9" s="489"/>
    </row>
    <row r="10" spans="1:35">
      <c r="A10" s="1036">
        <v>3</v>
      </c>
      <c r="B10" s="27" t="s">
        <v>21</v>
      </c>
      <c r="C10" s="1038" t="s">
        <v>108</v>
      </c>
      <c r="D10">
        <v>21</v>
      </c>
      <c r="E10" s="28">
        <v>1960</v>
      </c>
      <c r="F10" s="26">
        <v>97</v>
      </c>
      <c r="G10" s="26">
        <v>3</v>
      </c>
      <c r="H10" s="26"/>
      <c r="I10" s="26">
        <f>IF(E10&lt;=1966,'Założenia,wskaźniki, listy'!$H$4,IF(E10&gt;1966,IF(E10&lt;=1985,'Założenia,wskaźniki, listy'!$H$5,IF(E10&gt;1985,IF(E10&lt;=1992,'Założenia,wskaźniki, listy'!$H$6,IF(E10&gt;1992,IF(E10&lt;=1996,'Założenia,wskaźniki, listy'!$H$7,IF(E10&gt;1996,IF(E10&lt;=2013,'Założenia,wskaźniki, listy'!$H$8)))))))))</f>
        <v>290</v>
      </c>
      <c r="J10" s="28" t="s">
        <v>32</v>
      </c>
      <c r="K10" s="28" t="s">
        <v>7</v>
      </c>
      <c r="L10" s="26"/>
      <c r="M10" s="45"/>
      <c r="N10" s="30"/>
      <c r="O10" s="30"/>
      <c r="P10" s="62">
        <f t="shared" si="4"/>
        <v>0</v>
      </c>
      <c r="Q10" s="1061"/>
      <c r="R10" s="346">
        <f>IF(K10="węgiel",P10*'Założenia,wskaźniki, listy'!$C$44,IF(K10="gaz",P10*'Założenia,wskaźniki, listy'!$D$44,IF(K10="drewno",P10*'Założenia,wskaźniki, listy'!$E$44,IF(K10="pelet",P10*'Założenia,wskaźniki, listy'!$F$44,IF(K10="olej opałowy",P10*'Założenia,wskaźniki, listy'!$G$44,IF(K10="sieć ciepłownicza",0,IF(K10="prąd",0,0)))))))</f>
        <v>0</v>
      </c>
      <c r="S10" s="346">
        <f>IF(K10="węgiel",P10*'Założenia,wskaźniki, listy'!$C$45,IF(K10="gaz",P10*'Założenia,wskaźniki, listy'!$D$45,IF(K10="drewno",P10*'Założenia,wskaźniki, listy'!$E$45,IF(K10="pelet",P10*'Założenia,wskaźniki, listy'!$F$45,IF(K10="olej opałowy",P10*'Założenia,wskaźniki, listy'!$G$45,IF(K10="sieć ciepłownicza",0,IF(K10="prąd",0,0)))))))</f>
        <v>0</v>
      </c>
      <c r="T10" s="346">
        <f>IF(K10="węgiel",P10*'Założenia,wskaźniki, listy'!$C$46,IF(K10="gaz",P10*'Założenia,wskaźniki, listy'!$D$46,IF(K10="drewno",P10*'Założenia,wskaźniki, listy'!$E$46,IF(K10="pelet",P10*'Założenia,wskaźniki, listy'!$F$46,IF(K10="olej opałowy",P10*'Założenia,wskaźniki, listy'!$G$46,IF(K10="sieć ciepłownicza",P10*'Założenia,wskaźniki, listy'!$H$46,IF(K10="prąd",0,0)))))))</f>
        <v>0</v>
      </c>
      <c r="U10" s="346">
        <f>IF(K10="węgiel",P10*'Założenia,wskaźniki, listy'!$C$47,IF(K10="gaz",P10*'Założenia,wskaźniki, listy'!$D$47,IF(K10="drewno",P10*'Założenia,wskaźniki, listy'!$E$47,IF(K10="pelet",P10*'Założenia,wskaźniki, listy'!$F$47,IF(K10="olej opałowy",P10*'Założenia,wskaźniki, listy'!$G$47,IF(K10="sieć ciepłownicza",0,IF(K10="prąd",0,0)))))))</f>
        <v>0</v>
      </c>
      <c r="V10" s="346">
        <f>IF(K10="węgiel",P10*'Założenia,wskaźniki, listy'!$C$48, IF(K10="gaz",P10*'Założenia,wskaźniki, listy'!$D$48,IF(K10="drewno",P10*'Założenia,wskaźniki, listy'!$E$48,IF(K10="pelet",P10*'Założenia,wskaźniki, listy'!$F$48,IF(K10="olej opałowy",P10*'Założenia,wskaźniki, listy'!$G$48,IF(K10="sieć ciepłownicza",0,IF(K10="prąd",0,0)))))))</f>
        <v>0</v>
      </c>
      <c r="W10" s="346">
        <f>IF(K10="węgiel",P10*'Założenia,wskaźniki, listy'!$C$49, IF(K10="gaz",P10*'Założenia,wskaźniki, listy'!$D$49, IF(K10="drewno",P10*'Założenia,wskaźniki, listy'!$E$49,IF(K10="pelet",P10*'Założenia,wskaźniki, listy'!$F$49,IF(K10="olej opałowy",P10*'Założenia,wskaźniki, listy'!$G$49,IF(K10="sieć ciepłownicza",0,IF(K10="prąd",0,0)))))))</f>
        <v>0</v>
      </c>
      <c r="X10" s="346">
        <f>IF(K10="węgiel",P10*'Założenia,wskaźniki, listy'!$C$50,IF(K10="gaz",P10*'Założenia,wskaźniki, listy'!$D$50, IF(K10="drewno",P10*'Założenia,wskaźniki, listy'!$E$50,IF(K10="pelet",P10*'Założenia,wskaźniki, listy'!$F$50,IF(K10="pelet",P10*'Założenia,wskaźniki, listy'!$F$50,IF(K10="olej opałowy",P10*'Założenia,wskaźniki, listy'!$G$50,IF(K10="sieć ciepłownicza",0,IF(K10="prąd",0,0))))))))</f>
        <v>0</v>
      </c>
      <c r="Y10" s="31">
        <f t="shared" si="5"/>
        <v>0</v>
      </c>
      <c r="Z10" s="31">
        <f t="shared" si="6"/>
        <v>0</v>
      </c>
      <c r="AA10" s="31">
        <f>T10+Q10*'Założenia,wskaźniki, listy'!$J$46</f>
        <v>0</v>
      </c>
      <c r="AB10" s="31">
        <f t="shared" si="7"/>
        <v>0</v>
      </c>
      <c r="AC10" s="31">
        <f t="shared" si="8"/>
        <v>0</v>
      </c>
      <c r="AD10" s="31">
        <f t="shared" si="9"/>
        <v>0</v>
      </c>
      <c r="AE10" s="31">
        <f t="shared" si="10"/>
        <v>0</v>
      </c>
      <c r="AG10" s="813" t="s">
        <v>9</v>
      </c>
      <c r="AH10" s="374"/>
      <c r="AI10" s="489"/>
    </row>
    <row r="11" spans="1:35" ht="26.4">
      <c r="A11" s="1037"/>
      <c r="B11" s="27"/>
      <c r="C11" s="1039"/>
      <c r="E11" s="28"/>
      <c r="F11" s="26"/>
      <c r="G11" s="26"/>
      <c r="H11" s="26"/>
      <c r="I11" s="26">
        <f>IF(E11&lt;=1966,'Założenia,wskaźniki, listy'!$H$4,IF(E11&gt;1966,IF(E11&lt;=1985,'Założenia,wskaźniki, listy'!$H$5,IF(E11&gt;1985,IF(E11&lt;=1992,'Założenia,wskaźniki, listy'!$H$6,IF(E11&gt;1992,IF(E11&lt;=1996,'Założenia,wskaźniki, listy'!$H$7,IF(E11&gt;1996,IF(E11&lt;=2013,'Założenia,wskaźniki, listy'!$H$8)))))))))</f>
        <v>290</v>
      </c>
      <c r="J11" s="28"/>
      <c r="K11" s="28" t="s">
        <v>29</v>
      </c>
      <c r="L11" s="26"/>
      <c r="M11" s="45"/>
      <c r="N11" s="30"/>
      <c r="O11" s="30"/>
      <c r="P11" s="62">
        <f t="shared" si="4"/>
        <v>0</v>
      </c>
      <c r="Q11" s="1061"/>
      <c r="R11" s="346">
        <f>IF(K11="węgiel",P11*'Założenia,wskaźniki, listy'!$C$44,IF(K11="gaz",P11*'Założenia,wskaźniki, listy'!$D$44,IF(K11="drewno",P11*'Założenia,wskaźniki, listy'!$E$44,IF(K11="pelet",P11*'Założenia,wskaźniki, listy'!$F$44,IF(K11="olej opałowy",P11*'Założenia,wskaźniki, listy'!$G$44,IF(K11="sieć ciepłownicza",0,IF(K11="prąd",0,0)))))))</f>
        <v>0</v>
      </c>
      <c r="S11" s="346">
        <f>IF(K11="węgiel",P11*'Założenia,wskaźniki, listy'!$C$45,IF(K11="gaz",P11*'Założenia,wskaźniki, listy'!$D$45,IF(K11="drewno",P11*'Założenia,wskaźniki, listy'!$E$45,IF(K11="pelet",P11*'Założenia,wskaźniki, listy'!$F$45,IF(K11="olej opałowy",P11*'Założenia,wskaźniki, listy'!$G$45,IF(K11="sieć ciepłownicza",0,IF(K11="prąd",0,0)))))))</f>
        <v>0</v>
      </c>
      <c r="T11" s="346">
        <f>IF(K11="węgiel",P11*'Założenia,wskaźniki, listy'!$C$46,IF(K11="gaz",P11*'Założenia,wskaźniki, listy'!$D$46,IF(K11="drewno",P11*'Założenia,wskaźniki, listy'!$E$46,IF(K11="pelet",P11*'Założenia,wskaźniki, listy'!$F$46,IF(K11="olej opałowy",P11*'Założenia,wskaźniki, listy'!$G$46,IF(K11="sieć ciepłownicza",P11*'Założenia,wskaźniki, listy'!$H$46,IF(K11="prąd",0,0)))))))</f>
        <v>0</v>
      </c>
      <c r="U11" s="346">
        <f>IF(K11="węgiel",P11*'Założenia,wskaźniki, listy'!$C$47,IF(K11="gaz",P11*'Założenia,wskaźniki, listy'!$D$47,IF(K11="drewno",P11*'Założenia,wskaźniki, listy'!$E$47,IF(K11="pelet",P11*'Założenia,wskaźniki, listy'!$F$47,IF(K11="olej opałowy",P11*'Założenia,wskaźniki, listy'!$G$47,IF(K11="sieć ciepłownicza",0,IF(K11="prąd",0,0)))))))</f>
        <v>0</v>
      </c>
      <c r="V11" s="346">
        <f>IF(K11="węgiel",P11*'Założenia,wskaźniki, listy'!$C$48, IF(K11="gaz",P11*'Założenia,wskaźniki, listy'!$D$48,IF(K11="drewno",P11*'Założenia,wskaźniki, listy'!$E$48,IF(K11="pelet",P11*'Założenia,wskaźniki, listy'!$F$48,IF(K11="olej opałowy",P11*'Założenia,wskaźniki, listy'!$G$48,IF(K11="sieć ciepłownicza",0,IF(K11="prąd",0,0)))))))</f>
        <v>0</v>
      </c>
      <c r="W11" s="346">
        <f>IF(K11="węgiel",P11*'Założenia,wskaźniki, listy'!$C$49, IF(K11="gaz",P11*'Założenia,wskaźniki, listy'!$D$49, IF(K11="drewno",P11*'Założenia,wskaźniki, listy'!$E$49,IF(K11="pelet",P11*'Założenia,wskaźniki, listy'!$F$49,IF(K11="olej opałowy",P11*'Założenia,wskaźniki, listy'!$G$49,IF(K11="sieć ciepłownicza",0,IF(K11="prąd",0,0)))))))</f>
        <v>0</v>
      </c>
      <c r="X11" s="346">
        <f>IF(K11="węgiel",P11*'Założenia,wskaźniki, listy'!$C$50,IF(K11="gaz",P11*'Założenia,wskaźniki, listy'!$D$50, IF(K11="drewno",P11*'Założenia,wskaźniki, listy'!$E$50,IF(K11="pelet",P11*'Założenia,wskaźniki, listy'!$F$50,IF(K11="pelet",P11*'Założenia,wskaźniki, listy'!$F$50,IF(K11="olej opałowy",P11*'Założenia,wskaźniki, listy'!$G$50,IF(K11="sieć ciepłownicza",0,IF(K11="prąd",0,0))))))))</f>
        <v>0</v>
      </c>
      <c r="Y11" s="31">
        <f t="shared" si="5"/>
        <v>0</v>
      </c>
      <c r="Z11" s="31">
        <f t="shared" si="6"/>
        <v>0</v>
      </c>
      <c r="AA11" s="31">
        <f>(P11/3.6+Q6)*'Założenia,wskaźniki, listy'!U1</f>
        <v>0</v>
      </c>
      <c r="AB11" s="31">
        <f t="shared" si="7"/>
        <v>0</v>
      </c>
      <c r="AC11" s="31">
        <f t="shared" si="8"/>
        <v>0</v>
      </c>
      <c r="AD11" s="31">
        <f t="shared" si="9"/>
        <v>0</v>
      </c>
      <c r="AE11" s="31">
        <f t="shared" si="10"/>
        <v>0</v>
      </c>
      <c r="AG11" s="814" t="s">
        <v>128</v>
      </c>
      <c r="AH11" s="374"/>
      <c r="AI11" s="489"/>
    </row>
    <row r="12" spans="1:35" ht="14.25" customHeight="1">
      <c r="A12" s="92">
        <v>4</v>
      </c>
      <c r="B12" s="27" t="s">
        <v>21</v>
      </c>
      <c r="C12" s="94" t="s">
        <v>108</v>
      </c>
      <c r="D12">
        <v>23</v>
      </c>
      <c r="E12" s="28">
        <v>1920</v>
      </c>
      <c r="F12" s="26">
        <v>100</v>
      </c>
      <c r="G12" s="26">
        <v>3</v>
      </c>
      <c r="H12" s="26"/>
      <c r="I12" s="26">
        <f>IF(E12&lt;=1966,'Założenia,wskaźniki, listy'!$H$4,IF(E12&gt;1966,IF(E12&lt;=1985,'Założenia,wskaźniki, listy'!$H$5,IF(E12&gt;1985,IF(E12&lt;=1992,'Założenia,wskaźniki, listy'!$H$6,IF(E12&gt;1992,IF(E12&lt;=1996,'Założenia,wskaźniki, listy'!$H$7,IF(E12&gt;1996,IF(E12&lt;=2013,'Założenia,wskaźniki, listy'!$H$8)))))))))</f>
        <v>290</v>
      </c>
      <c r="J12" s="28" t="s">
        <v>33</v>
      </c>
      <c r="K12" s="350" t="s">
        <v>186</v>
      </c>
      <c r="L12" s="26"/>
      <c r="M12" s="45"/>
      <c r="N12" s="30"/>
      <c r="O12" s="30"/>
      <c r="P12" s="62"/>
      <c r="Q12" s="1062"/>
      <c r="R12" s="346">
        <f>IF(K12="węgiel",P12*'Założenia,wskaźniki, listy'!$C$44,IF(K12="gaz",P12*'Założenia,wskaźniki, listy'!$D$44,IF(K12="drewno",P12*'Założenia,wskaźniki, listy'!$E$44,IF(K12="pelet",P12*'Założenia,wskaźniki, listy'!$F$44,IF(K12="olej opałowy",P12*'Założenia,wskaźniki, listy'!$G$44,IF(K12="sieć ciepłownicza",0,IF(K12="prąd",0,0)))))))</f>
        <v>0</v>
      </c>
      <c r="S12" s="346">
        <f>IF(K12="węgiel",P12*'Założenia,wskaźniki, listy'!$C$45,IF(K12="gaz",P12*'Założenia,wskaźniki, listy'!$D$45,IF(K12="drewno",P12*'Założenia,wskaźniki, listy'!$E$45,IF(K12="pelet",P12*'Założenia,wskaźniki, listy'!$F$45,IF(K12="olej opałowy",P12*'Założenia,wskaźniki, listy'!$G$45,IF(K12="sieć ciepłownicza",0,IF(K12="prąd",0,0)))))))</f>
        <v>0</v>
      </c>
      <c r="T12" s="346">
        <f>IF(K12="węgiel",P12*'Założenia,wskaźniki, listy'!$C$46,IF(K12="gaz",P12*'Założenia,wskaźniki, listy'!$D$46,IF(K12="drewno",P12*'Założenia,wskaźniki, listy'!$E$46,IF(K12="pelet",P12*'Założenia,wskaźniki, listy'!$F$46,IF(K12="olej opałowy",P12*'Założenia,wskaźniki, listy'!$G$46,IF(K12="sieć ciepłownicza",P12*'Założenia,wskaźniki, listy'!$H$46,IF(K12="prąd",0,0)))))))</f>
        <v>0</v>
      </c>
      <c r="U12" s="346">
        <f>IF(K12="węgiel",P12*'Założenia,wskaźniki, listy'!$C$47,IF(K12="gaz",P12*'Założenia,wskaźniki, listy'!$D$47,IF(K12="drewno",P12*'Założenia,wskaźniki, listy'!$E$47,IF(K12="pelet",P12*'Założenia,wskaźniki, listy'!$F$47,IF(K12="olej opałowy",P12*'Założenia,wskaźniki, listy'!$G$47,IF(K12="sieć ciepłownicza",0,IF(K12="prąd",0,0)))))))</f>
        <v>0</v>
      </c>
      <c r="V12" s="346">
        <f>IF(K12="węgiel",P12*'Założenia,wskaźniki, listy'!$C$48, IF(K12="gaz",P12*'Założenia,wskaźniki, listy'!$D$48,IF(K12="drewno",P12*'Założenia,wskaźniki, listy'!$E$48,IF(K12="pelet",P12*'Założenia,wskaźniki, listy'!$F$48,IF(K12="olej opałowy",P12*'Założenia,wskaźniki, listy'!$G$48,IF(K12="sieć ciepłownicza",0,IF(K12="prąd",0,0)))))))</f>
        <v>0</v>
      </c>
      <c r="W12" s="346">
        <f>IF(K12="węgiel",P12*'Założenia,wskaźniki, listy'!$C$49, IF(K12="gaz",P12*'Założenia,wskaźniki, listy'!$D$49, IF(K12="drewno",P12*'Założenia,wskaźniki, listy'!$E$49,IF(K12="pelet",P12*'Założenia,wskaźniki, listy'!$F$49,IF(K12="olej opałowy",P12*'Założenia,wskaźniki, listy'!$G$49,IF(K12="sieć ciepłownicza",0,IF(K12="prąd",0,0)))))))</f>
        <v>0</v>
      </c>
      <c r="X12" s="346">
        <f>IF(K12="węgiel",P12*'Założenia,wskaźniki, listy'!$C$50,IF(K12="gaz",P12*'Założenia,wskaźniki, listy'!$D$50, IF(K12="drewno",P12*'Założenia,wskaźniki, listy'!$E$50,IF(K12="pelet",P12*'Założenia,wskaźniki, listy'!$F$50,IF(K12="pelet",P12*'Założenia,wskaźniki, listy'!$F$50,IF(K12="olej opałowy",P12*'Założenia,wskaźniki, listy'!$G$50,IF(K12="sieć ciepłownicza",0,IF(K12="prąd",0,0))))))))</f>
        <v>0</v>
      </c>
      <c r="Y12" s="31">
        <f t="shared" si="5"/>
        <v>0</v>
      </c>
      <c r="Z12" s="31">
        <f t="shared" si="6"/>
        <v>0</v>
      </c>
      <c r="AA12" s="31">
        <f>T12+Q12*'Założenia,wskaźniki, listy'!$J$46</f>
        <v>0</v>
      </c>
      <c r="AB12" s="31">
        <f t="shared" si="7"/>
        <v>0</v>
      </c>
      <c r="AC12" s="31">
        <f t="shared" si="8"/>
        <v>0</v>
      </c>
      <c r="AD12" s="31">
        <f t="shared" si="9"/>
        <v>0</v>
      </c>
      <c r="AE12" s="31">
        <f t="shared" si="10"/>
        <v>0</v>
      </c>
      <c r="AG12" s="27" t="s">
        <v>119</v>
      </c>
      <c r="AH12" s="168">
        <v>2466.9061718939884</v>
      </c>
      <c r="AI12" s="489">
        <f>SUM(AI5:AI11)</f>
        <v>1</v>
      </c>
    </row>
    <row r="13" spans="1:35">
      <c r="G13" s="27" t="s">
        <v>31</v>
      </c>
      <c r="H13" s="46" t="e">
        <f>J13/$J$14</f>
        <v>#DIV/0!</v>
      </c>
      <c r="I13" s="27" t="s">
        <v>121</v>
      </c>
      <c r="J13" s="44">
        <f>COUNTIF(J6:J12,"brak")</f>
        <v>0</v>
      </c>
      <c r="K13" s="115" t="s">
        <v>189</v>
      </c>
      <c r="L13" s="115"/>
      <c r="M13" s="115"/>
      <c r="N13" s="115"/>
      <c r="O13" s="115"/>
      <c r="P13" s="142">
        <f>SUM(P6:P12)</f>
        <v>2466.9061718939884</v>
      </c>
      <c r="Q13" s="116"/>
      <c r="Y13" s="64">
        <f>SUM(Y6:Y12)</f>
        <v>0.68086610344274079</v>
      </c>
      <c r="Z13" s="64">
        <f t="shared" ref="Z13:AE13" si="11">SUM(Z6:Z12)</f>
        <v>0.62856769259858825</v>
      </c>
      <c r="AA13" s="64">
        <f t="shared" si="11"/>
        <v>184.99822764267395</v>
      </c>
      <c r="AB13" s="64">
        <f t="shared" si="11"/>
        <v>5.9255086248893602E-4</v>
      </c>
      <c r="AC13" s="64">
        <f t="shared" si="11"/>
        <v>1.7815996373418383</v>
      </c>
      <c r="AD13" s="64">
        <f t="shared" si="11"/>
        <v>0.35128743887770397</v>
      </c>
      <c r="AE13" s="64">
        <f t="shared" si="11"/>
        <v>4.0585001745018063</v>
      </c>
    </row>
    <row r="14" spans="1:35">
      <c r="J14" s="25">
        <f>SUM(J13:J13)</f>
        <v>0</v>
      </c>
      <c r="M14" s="42"/>
      <c r="N14" s="42"/>
      <c r="O14" s="42"/>
      <c r="P14" s="42"/>
      <c r="R14" s="59"/>
      <c r="S14" s="59"/>
      <c r="T14" s="59"/>
      <c r="U14" s="59"/>
      <c r="V14" s="59"/>
      <c r="W14" s="59"/>
      <c r="X14" s="42"/>
    </row>
    <row r="15" spans="1:35">
      <c r="C15" s="42"/>
      <c r="M15" s="42"/>
      <c r="N15" s="41"/>
      <c r="O15" s="60"/>
      <c r="P15" s="60"/>
      <c r="Q15" s="42"/>
      <c r="R15" s="59"/>
      <c r="S15" s="59"/>
      <c r="T15" s="59"/>
      <c r="U15" s="59"/>
      <c r="V15" s="59"/>
      <c r="W15" s="59"/>
      <c r="X15" s="42"/>
      <c r="Y15" s="42"/>
    </row>
    <row r="16" spans="1:35">
      <c r="C16" s="42"/>
      <c r="D16" s="27" t="s">
        <v>129</v>
      </c>
      <c r="M16" s="42"/>
      <c r="N16" s="61"/>
      <c r="O16" s="60"/>
      <c r="P16" s="60"/>
      <c r="Q16" s="42"/>
      <c r="R16" s="59"/>
      <c r="S16" s="59"/>
      <c r="T16" s="59"/>
      <c r="U16" s="59"/>
      <c r="V16" s="59"/>
      <c r="W16" s="59"/>
      <c r="X16" s="42"/>
      <c r="Y16" s="42"/>
    </row>
    <row r="17" spans="1:31" ht="48" customHeight="1">
      <c r="C17" s="54"/>
      <c r="D17" s="56">
        <v>850</v>
      </c>
      <c r="E17" s="52" t="s">
        <v>130</v>
      </c>
      <c r="H17" s="25" t="s">
        <v>120</v>
      </c>
      <c r="M17" s="42"/>
      <c r="N17" s="61"/>
      <c r="O17" s="60"/>
      <c r="P17" s="60"/>
      <c r="Q17" s="42"/>
      <c r="R17" s="59"/>
      <c r="S17" s="59"/>
      <c r="T17" s="59"/>
      <c r="U17" s="59"/>
      <c r="V17" s="59"/>
      <c r="W17" s="59"/>
      <c r="X17" s="42"/>
      <c r="Y17" s="42"/>
    </row>
    <row r="18" spans="1:31">
      <c r="C18" s="55"/>
      <c r="D18" s="57">
        <v>1584</v>
      </c>
      <c r="E18" s="53" t="s">
        <v>98</v>
      </c>
      <c r="H18" s="25">
        <f>520</f>
        <v>520</v>
      </c>
      <c r="J18" s="25" t="s">
        <v>97</v>
      </c>
      <c r="M18" s="42"/>
      <c r="N18" s="61"/>
      <c r="O18" s="60"/>
      <c r="P18" s="60"/>
      <c r="Q18" s="42"/>
      <c r="R18" s="59"/>
      <c r="S18" s="59"/>
      <c r="T18" s="59"/>
      <c r="U18" s="59"/>
      <c r="V18" s="59"/>
      <c r="W18" s="59"/>
      <c r="X18" s="42"/>
      <c r="Y18" s="42"/>
    </row>
    <row r="19" spans="1:31">
      <c r="C19" s="42">
        <v>3.7</v>
      </c>
      <c r="D19">
        <f>D18/D17</f>
        <v>1.8635294117647059</v>
      </c>
      <c r="E19" s="25" t="s">
        <v>131</v>
      </c>
      <c r="M19" s="42"/>
      <c r="N19" s="61"/>
      <c r="O19" s="60"/>
      <c r="P19" s="60"/>
      <c r="Q19" s="42"/>
      <c r="R19" s="59"/>
      <c r="S19" s="59"/>
      <c r="T19" s="59"/>
      <c r="U19" s="59"/>
      <c r="V19" s="59"/>
      <c r="W19" s="59"/>
      <c r="X19" s="42"/>
      <c r="Y19" s="42"/>
    </row>
    <row r="20" spans="1:31">
      <c r="C20" s="42" t="s">
        <v>134</v>
      </c>
      <c r="D20" t="e">
        <f>(#REF!+#REF!)/D21</f>
        <v>#REF!</v>
      </c>
      <c r="E20" s="25" t="e">
        <f>D20*E21/D21</f>
        <v>#REF!</v>
      </c>
      <c r="F20" s="25" t="s">
        <v>133</v>
      </c>
      <c r="M20" s="42"/>
      <c r="N20" s="41"/>
      <c r="O20" s="60"/>
      <c r="P20" s="42"/>
      <c r="Q20" s="42"/>
      <c r="R20" s="59"/>
      <c r="S20" s="59"/>
      <c r="T20" s="59"/>
      <c r="U20" s="59"/>
      <c r="V20" s="59"/>
      <c r="W20" s="59"/>
      <c r="X20" s="42"/>
      <c r="Y20" s="42"/>
    </row>
    <row r="21" spans="1:31">
      <c r="C21" s="25" t="s">
        <v>132</v>
      </c>
      <c r="D21">
        <v>191</v>
      </c>
      <c r="E21" s="25">
        <f>D21*D19</f>
        <v>355.93411764705883</v>
      </c>
      <c r="M21" s="42"/>
      <c r="N21" s="42"/>
      <c r="O21" s="42"/>
      <c r="P21" s="42"/>
      <c r="Q21" s="42"/>
      <c r="R21" s="59"/>
      <c r="S21" s="59"/>
      <c r="T21" s="59"/>
      <c r="U21" s="59"/>
      <c r="V21" s="59"/>
      <c r="W21" s="59"/>
      <c r="X21" s="42"/>
      <c r="Y21" s="42"/>
    </row>
    <row r="22" spans="1:31">
      <c r="G22" s="1030" t="s">
        <v>125</v>
      </c>
      <c r="H22" s="1030"/>
      <c r="N22" s="41"/>
    </row>
    <row r="23" spans="1:31">
      <c r="G23" s="27" t="s">
        <v>122</v>
      </c>
      <c r="H23" s="27">
        <v>2707</v>
      </c>
      <c r="Y23" s="343">
        <f>Y13</f>
        <v>0.68086610344274079</v>
      </c>
      <c r="Z23" s="343">
        <f>Z13</f>
        <v>0.62856769259858825</v>
      </c>
      <c r="AA23" s="344">
        <f>AA13/100</f>
        <v>1.8499822764267395</v>
      </c>
      <c r="AB23" s="343">
        <f>AB13*1000</f>
        <v>0.59255086248893607</v>
      </c>
      <c r="AC23" s="343">
        <f>AC13</f>
        <v>1.7815996373418383</v>
      </c>
      <c r="AD23" s="343">
        <f>AD13</f>
        <v>0.35128743887770397</v>
      </c>
      <c r="AE23" s="343">
        <f>AE13</f>
        <v>4.0585001745018063</v>
      </c>
    </row>
    <row r="24" spans="1:31">
      <c r="G24" s="27" t="s">
        <v>123</v>
      </c>
      <c r="H24" s="3">
        <v>241161</v>
      </c>
    </row>
    <row r="25" spans="1:31">
      <c r="A25" s="25"/>
      <c r="D25" s="25"/>
      <c r="G25" s="27" t="s">
        <v>99</v>
      </c>
      <c r="H25" s="47" t="e">
        <f>H24/#REF!*#REF!</f>
        <v>#REF!</v>
      </c>
      <c r="R25" s="25"/>
      <c r="S25" s="25"/>
      <c r="T25" s="25"/>
      <c r="U25" s="25"/>
      <c r="V25" s="25"/>
      <c r="W25" s="25"/>
    </row>
    <row r="33" spans="11:11">
      <c r="K33" s="157" t="s">
        <v>317</v>
      </c>
    </row>
  </sheetData>
  <mergeCells count="28">
    <mergeCell ref="R5:X5"/>
    <mergeCell ref="G22:H22"/>
    <mergeCell ref="AG3:AI3"/>
    <mergeCell ref="G5:H5"/>
    <mergeCell ref="A6:A7"/>
    <mergeCell ref="Q6:Q12"/>
    <mergeCell ref="A8:A9"/>
    <mergeCell ref="A10:A11"/>
    <mergeCell ref="C10:C11"/>
    <mergeCell ref="O3:O4"/>
    <mergeCell ref="P3:P4"/>
    <mergeCell ref="Q3:Q4"/>
    <mergeCell ref="R3:X3"/>
    <mergeCell ref="I3:I4"/>
    <mergeCell ref="J3:J4"/>
    <mergeCell ref="K3:K4"/>
    <mergeCell ref="L3:L4"/>
    <mergeCell ref="M3:M4"/>
    <mergeCell ref="N3:N4"/>
    <mergeCell ref="K2:Q2"/>
    <mergeCell ref="Y2:AE3"/>
    <mergeCell ref="F3:F4"/>
    <mergeCell ref="G3:H3"/>
    <mergeCell ref="A3:A4"/>
    <mergeCell ref="B3:B4"/>
    <mergeCell ref="C3:C4"/>
    <mergeCell ref="D3:D4"/>
    <mergeCell ref="E3:E4"/>
  </mergeCells>
  <pageMargins left="0.7" right="0.7" top="0.75" bottom="0.75" header="0.3" footer="0.3"/>
  <pageSetup paperSize="9" scale="75" orientation="landscape" r:id="rId1"/>
  <drawing r:id="rId2"/>
  <legacyDrawing r:id="rId3"/>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C00-000000000000}">
          <x14:formula1>
            <xm:f>'Założenia,wskaźniki, listy'!$A$4:$A$10</xm:f>
          </x14:formula1>
          <xm:sqref>L6:L12 K6:K11</xm:sqref>
        </x14:dataValidation>
        <x14:dataValidation type="list" allowBlank="1" showInputMessage="1" showErrorMessage="1" xr:uid="{00000000-0002-0000-0C00-000002000000}">
          <x14:formula1>
            <xm:f>'Założenia,wskaźniki, listy'!$N$27:$N$29</xm:f>
          </x14:formula1>
          <xm:sqref>B6:B12</xm:sqref>
        </x14:dataValidation>
        <x14:dataValidation type="list" allowBlank="1" showInputMessage="1" showErrorMessage="1" xr:uid="{00000000-0002-0000-0C00-000003000000}">
          <x14:formula1>
            <xm:f>'Założenia,wskaźniki, listy'!$F$13:$F$15</xm:f>
          </x14:formula1>
          <xm:sqref>J6:J12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0.249977111117893"/>
  </sheetPr>
  <dimension ref="A1:AM82"/>
  <sheetViews>
    <sheetView view="pageBreakPreview" zoomScale="115" zoomScaleNormal="115" zoomScaleSheetLayoutView="115" workbookViewId="0">
      <pane ySplit="3" topLeftCell="A4" activePane="bottomLeft" state="frozen"/>
      <selection pane="bottomLeft" activeCell="X15" sqref="X15"/>
    </sheetView>
  </sheetViews>
  <sheetFormatPr defaultRowHeight="13.8"/>
  <cols>
    <col min="1" max="1" width="4.19921875" customWidth="1"/>
    <col min="2" max="3" width="9" hidden="1" customWidth="1"/>
    <col min="6" max="14" width="9" hidden="1" customWidth="1"/>
    <col min="16" max="16" width="9.09765625" bestFit="1" customWidth="1"/>
    <col min="17" max="17" width="18.3984375" customWidth="1"/>
    <col min="18" max="21" width="9" customWidth="1"/>
    <col min="22" max="22" width="9.09765625" bestFit="1" customWidth="1"/>
    <col min="23" max="24" width="5" customWidth="1"/>
    <col min="25" max="25" width="8.69921875" customWidth="1"/>
    <col min="26" max="26" width="7.19921875" customWidth="1"/>
    <col min="27" max="27" width="3.3984375" bestFit="1" customWidth="1"/>
    <col min="28" max="28" width="8" customWidth="1"/>
    <col min="29" max="29" width="8.5" customWidth="1"/>
    <col min="30" max="39" width="9" hidden="1" customWidth="1"/>
    <col min="40" max="47" width="9" customWidth="1"/>
    <col min="48" max="48" width="5.69921875" bestFit="1" customWidth="1"/>
    <col min="49" max="50" width="7.59765625" bestFit="1" customWidth="1"/>
  </cols>
  <sheetData>
    <row r="1" spans="1:39" ht="14.4" thickBot="1">
      <c r="A1" s="1155" t="s">
        <v>298</v>
      </c>
      <c r="B1" s="1155"/>
      <c r="C1" s="1155"/>
      <c r="D1" s="1155"/>
      <c r="E1" s="1155"/>
      <c r="F1" s="1155"/>
      <c r="G1" s="1155"/>
      <c r="H1" s="1155"/>
      <c r="I1" s="1155"/>
      <c r="J1" s="1155"/>
      <c r="K1" s="1155"/>
      <c r="L1" s="1155"/>
      <c r="M1" s="1155"/>
      <c r="N1" s="1155"/>
      <c r="O1" s="1155"/>
      <c r="P1" s="1155"/>
      <c r="Q1" s="1155"/>
      <c r="R1" s="1155"/>
      <c r="S1" s="1155"/>
      <c r="T1" s="1155"/>
      <c r="U1" s="1155"/>
      <c r="V1" s="1156"/>
      <c r="W1" s="1156"/>
      <c r="X1" s="1156"/>
      <c r="Y1" s="1156"/>
      <c r="Z1" s="1155"/>
      <c r="AA1" s="1155"/>
      <c r="AB1" s="1155"/>
      <c r="AC1" s="1155"/>
      <c r="AD1" s="1155"/>
      <c r="AE1" s="1155"/>
    </row>
    <row r="2" spans="1:39" s="310" customFormat="1" ht="16.5" customHeight="1">
      <c r="A2" s="1157" t="s">
        <v>4</v>
      </c>
      <c r="B2" s="1159" t="s">
        <v>156</v>
      </c>
      <c r="C2" s="1160"/>
      <c r="D2" s="1163" t="s">
        <v>157</v>
      </c>
      <c r="E2" s="1165" t="s">
        <v>159</v>
      </c>
      <c r="F2" s="1147" t="s">
        <v>24</v>
      </c>
      <c r="G2" s="1147" t="s">
        <v>160</v>
      </c>
      <c r="H2" s="1147" t="s">
        <v>161</v>
      </c>
      <c r="I2" s="1147" t="s">
        <v>162</v>
      </c>
      <c r="J2" s="1147" t="s">
        <v>264</v>
      </c>
      <c r="K2" s="1167" t="s">
        <v>164</v>
      </c>
      <c r="L2" s="1149"/>
      <c r="M2" s="1147" t="s">
        <v>34</v>
      </c>
      <c r="N2" s="1147" t="s">
        <v>77</v>
      </c>
      <c r="O2" s="1147" t="s">
        <v>25</v>
      </c>
      <c r="P2" s="1147" t="s">
        <v>30</v>
      </c>
      <c r="Q2" s="1147" t="s">
        <v>373</v>
      </c>
      <c r="R2" s="495" t="s">
        <v>357</v>
      </c>
      <c r="S2" s="1147" t="s">
        <v>84</v>
      </c>
      <c r="T2" s="1147" t="s">
        <v>78</v>
      </c>
      <c r="U2" s="1147" t="s">
        <v>380</v>
      </c>
      <c r="V2" s="1147" t="s">
        <v>166</v>
      </c>
      <c r="W2" s="1150" t="s">
        <v>82</v>
      </c>
      <c r="X2" s="1151"/>
      <c r="Y2" s="1151"/>
      <c r="Z2" s="1151"/>
      <c r="AA2" s="1151"/>
      <c r="AB2" s="1151"/>
      <c r="AC2" s="1152"/>
      <c r="AD2" s="1149" t="s">
        <v>85</v>
      </c>
      <c r="AE2" s="1147" t="s">
        <v>89</v>
      </c>
      <c r="AF2" s="1147" t="s">
        <v>283</v>
      </c>
      <c r="AG2" s="1147" t="s">
        <v>168</v>
      </c>
      <c r="AH2" s="1147" t="s">
        <v>89</v>
      </c>
      <c r="AI2" s="1147" t="s">
        <v>169</v>
      </c>
      <c r="AJ2" s="1147" t="s">
        <v>170</v>
      </c>
      <c r="AK2" s="1147" t="s">
        <v>171</v>
      </c>
      <c r="AL2" s="1167" t="s">
        <v>169</v>
      </c>
      <c r="AM2" s="1153" t="s">
        <v>383</v>
      </c>
    </row>
    <row r="3" spans="1:39" s="310" customFormat="1" ht="6.6">
      <c r="A3" s="1158"/>
      <c r="B3" s="1161"/>
      <c r="C3" s="1162"/>
      <c r="D3" s="1164"/>
      <c r="E3" s="1166"/>
      <c r="F3" s="1148"/>
      <c r="G3" s="1148"/>
      <c r="H3" s="1148"/>
      <c r="I3" s="1148"/>
      <c r="J3" s="1148"/>
      <c r="K3" s="1054"/>
      <c r="L3" s="1056"/>
      <c r="M3" s="1148"/>
      <c r="N3" s="1148"/>
      <c r="O3" s="1148"/>
      <c r="P3" s="1148"/>
      <c r="Q3" s="1148"/>
      <c r="R3" s="496"/>
      <c r="S3" s="1148"/>
      <c r="T3" s="1148"/>
      <c r="U3" s="1148"/>
      <c r="V3" s="1148"/>
      <c r="W3" s="248" t="s">
        <v>66</v>
      </c>
      <c r="X3" s="248" t="s">
        <v>67</v>
      </c>
      <c r="Y3" s="248" t="s">
        <v>100</v>
      </c>
      <c r="Z3" s="248" t="s">
        <v>69</v>
      </c>
      <c r="AA3" s="248" t="s">
        <v>70</v>
      </c>
      <c r="AB3" s="248" t="s">
        <v>71</v>
      </c>
      <c r="AC3" s="476" t="s">
        <v>72</v>
      </c>
      <c r="AD3" s="1056"/>
      <c r="AE3" s="1148"/>
      <c r="AF3" s="1148"/>
      <c r="AG3" s="1148"/>
      <c r="AH3" s="1148"/>
      <c r="AI3" s="1148"/>
      <c r="AJ3" s="1148"/>
      <c r="AK3" s="1148"/>
      <c r="AL3" s="1054"/>
      <c r="AM3" s="1154"/>
    </row>
    <row r="4" spans="1:39" s="310" customFormat="1" ht="9.75" customHeight="1" thickBot="1">
      <c r="A4" s="508">
        <v>1</v>
      </c>
      <c r="B4" s="509"/>
      <c r="C4" s="509"/>
      <c r="D4" s="510">
        <v>2</v>
      </c>
      <c r="E4" s="511">
        <v>3</v>
      </c>
      <c r="F4" s="509">
        <v>4</v>
      </c>
      <c r="G4" s="509">
        <v>5</v>
      </c>
      <c r="H4" s="509">
        <v>6</v>
      </c>
      <c r="I4" s="509">
        <v>7</v>
      </c>
      <c r="J4" s="509">
        <v>8</v>
      </c>
      <c r="K4" s="1145">
        <v>6</v>
      </c>
      <c r="L4" s="1146"/>
      <c r="M4" s="509">
        <v>5</v>
      </c>
      <c r="N4" s="509">
        <v>10</v>
      </c>
      <c r="O4" s="512">
        <v>4</v>
      </c>
      <c r="P4" s="509">
        <v>5</v>
      </c>
      <c r="Q4" s="509">
        <v>6</v>
      </c>
      <c r="R4" s="509">
        <v>100</v>
      </c>
      <c r="S4" s="512">
        <v>7</v>
      </c>
      <c r="T4" s="509">
        <v>15</v>
      </c>
      <c r="U4" s="509">
        <v>8</v>
      </c>
      <c r="V4" s="509">
        <v>9</v>
      </c>
      <c r="W4" s="509">
        <v>10</v>
      </c>
      <c r="X4" s="509">
        <v>11</v>
      </c>
      <c r="Y4" s="509">
        <v>12</v>
      </c>
      <c r="Z4" s="509">
        <v>13</v>
      </c>
      <c r="AA4" s="509">
        <v>14</v>
      </c>
      <c r="AB4" s="509">
        <v>15</v>
      </c>
      <c r="AC4" s="513">
        <v>16</v>
      </c>
      <c r="AD4" s="498">
        <f t="shared" ref="AD4:AM4" si="0">AC4+1</f>
        <v>17</v>
      </c>
      <c r="AE4" s="497">
        <f t="shared" si="0"/>
        <v>18</v>
      </c>
      <c r="AF4" s="497">
        <f t="shared" si="0"/>
        <v>19</v>
      </c>
      <c r="AG4" s="317">
        <f t="shared" si="0"/>
        <v>20</v>
      </c>
      <c r="AH4" s="497">
        <f t="shared" si="0"/>
        <v>21</v>
      </c>
      <c r="AI4" s="497">
        <f t="shared" si="0"/>
        <v>22</v>
      </c>
      <c r="AJ4" s="497">
        <f t="shared" si="0"/>
        <v>23</v>
      </c>
      <c r="AK4" s="497">
        <f t="shared" si="0"/>
        <v>24</v>
      </c>
      <c r="AL4" s="497">
        <f t="shared" si="0"/>
        <v>25</v>
      </c>
      <c r="AM4" s="478">
        <f t="shared" si="0"/>
        <v>26</v>
      </c>
    </row>
    <row r="5" spans="1:39" s="308" customFormat="1" ht="6.6">
      <c r="A5" s="1134" t="s">
        <v>358</v>
      </c>
      <c r="B5" s="504">
        <f>SUM($C5:C$22)</f>
        <v>0</v>
      </c>
      <c r="C5" s="503" t="b">
        <f t="shared" ref="C5:C7" si="1">IF(ISTEXT(D5),1)</f>
        <v>0</v>
      </c>
      <c r="D5" s="1132"/>
      <c r="E5" s="1133"/>
      <c r="F5" s="504"/>
      <c r="G5" s="504"/>
      <c r="H5" s="88"/>
      <c r="I5" s="88"/>
      <c r="J5" s="88"/>
      <c r="K5" s="88"/>
      <c r="L5" s="88"/>
      <c r="M5" s="371"/>
      <c r="N5" s="88"/>
      <c r="O5" s="88"/>
      <c r="P5" s="88"/>
      <c r="Q5" s="250"/>
      <c r="R5" s="250"/>
      <c r="S5" s="250"/>
      <c r="T5" s="88"/>
      <c r="U5" s="236">
        <f>IF(O5="węgiel",P5*'Założenia,wskaźniki, listy'!$B$4,IF(O5="gaz",P5*'Założenia,wskaźniki, listy'!$B$5,IF(O5="drewno",P5*'Założenia,wskaźniki, listy'!$B$6,IF(O5="pelet",P5*'Założenia,wskaźniki, listy'!$B$7,IF(O5="olej opałowy",P5*'Założenia,wskaźniki, listy'!$B$8,IF(O5="sieć ciepłownicza",0,0))))))</f>
        <v>0</v>
      </c>
      <c r="V5" s="554"/>
      <c r="W5" s="236">
        <f>IF(O5="węgiel",U5*$X$76,IF(O5="gaz",U5*$Y$76,IF(O5="drewno",U5*$Z$76,IF(O5="pelet",U5*$Z$76,IF(O5="olej opałowy",U5*$AB$76,IF(O5="sieć ciepłownicza",0,IF(O5="prąd",0,0)))))))</f>
        <v>0</v>
      </c>
      <c r="X5" s="236">
        <f>IF(O5="węgiel",U5*$X$77,IF(O5="gaz",U5*$Y$77,IF(O5="drewno",U5*$Z$77,IF(O5="pelet",U5*$Z$77,IF(O5="olej opałowy",U5*$AB$77,IF(O5="sieć ciepłownicza",0,IF(O5="prąd",0,0)))))))</f>
        <v>0</v>
      </c>
      <c r="Y5" s="236">
        <f>IF(O5="węgiel",U5*$X$78,IF(O5="gaz",U5*$Y$78,IF(O5="drewno",U5*$Z$78,IF(O5="pelet",U5*$Z$78,IF(O5="olej opałowy",U5*$AB$78,IF(O5="sieć ciepłownicza",0,IF(O5="prąd",0,0)))))))+V5*1.19</f>
        <v>0</v>
      </c>
      <c r="Z5" s="236">
        <f>IF(O5="węgiel",U5*$X$79,IF(O5="gaz",U5*$Y$79,IF(O5="drewno",U5*$Z$79,IF(O5="pelet",U5*$Z$79,IF(O5="olej opałowy",U5*$AB$79,IF(O5="sieć ciepłownicza",0,IF(O5="prąd",0,0)))))))</f>
        <v>0</v>
      </c>
      <c r="AA5" s="236">
        <f>IF(O5="węgiel",U5*$X$80,IF(O5="gaz",U5*$Y$80,IF(O5="drewno",U5*$Z$80,IF(O5="pelet",U5*$AA$80,IF(O5="olej opałowy",U5*$AB$80,IF(O5="sieć ciepłownicza",0,IF(O5="prąd",0,0)))))))</f>
        <v>0</v>
      </c>
      <c r="AB5" s="236">
        <f>IF(O5="węgiel",U5*$X$81,IF(O5="gaz",U5*$Y$81,IF(O5="drewno",U5*$Z$81,IF(O5="pelet",U5*$Z$81,IF(O5="olej opałowy",U5*$AB$81,IF(O5="sieć ciepłownicza",0,IF(O5="prąd",0,0)))))))</f>
        <v>0</v>
      </c>
      <c r="AC5" s="236">
        <f>IF(O5="węgiel",U5*$X$82,IF(O5="gaz",U5*$Y$82,IF(O5="drewno",U5*$Z$82,IF(O5="pelet",U5*$Z$82,IF(O5="olej opałowy",U5*$AB$82,IF(O5="sieć ciepłownicza",0,IF(O5="prąd",0,0)))))))</f>
        <v>0</v>
      </c>
      <c r="AD5" s="88"/>
      <c r="AE5" s="250"/>
      <c r="AF5" s="499"/>
      <c r="AG5" s="250"/>
      <c r="AH5" s="250"/>
      <c r="AI5" s="250"/>
      <c r="AJ5" s="250"/>
      <c r="AK5" s="250"/>
      <c r="AL5" s="520"/>
      <c r="AM5" s="521"/>
    </row>
    <row r="6" spans="1:39" s="308" customFormat="1" ht="8.25" customHeight="1">
      <c r="A6" s="1135"/>
      <c r="B6" s="504">
        <f>SUM($C6:C$22)</f>
        <v>0</v>
      </c>
      <c r="C6" s="503" t="b">
        <f t="shared" si="1"/>
        <v>0</v>
      </c>
      <c r="D6" s="1009"/>
      <c r="E6" s="1009"/>
      <c r="F6" s="504"/>
      <c r="G6" s="504"/>
      <c r="H6" s="88"/>
      <c r="I6" s="88"/>
      <c r="J6" s="88"/>
      <c r="K6" s="88"/>
      <c r="L6" s="88"/>
      <c r="M6" s="371"/>
      <c r="N6" s="88"/>
      <c r="O6" s="88"/>
      <c r="P6" s="88"/>
      <c r="Q6" s="250"/>
      <c r="R6" s="250"/>
      <c r="S6" s="250"/>
      <c r="T6" s="88"/>
      <c r="U6" s="529">
        <f>IF(O6="węgiel",P6*'Założenia,wskaźniki, listy'!$B$4,IF(O6="gaz",P6*'Założenia,wskaźniki, listy'!$B$5,IF(O6="drewno",P6*'Założenia,wskaźniki, listy'!$B$6,IF(O6="pelet",P6*'Założenia,wskaźniki, listy'!$B$7,IF(O6="olej opałowy",P6*'Założenia,wskaźniki, listy'!$B$8,IF(O6="sieć ciepłownicza",0,0))))))</f>
        <v>0</v>
      </c>
      <c r="V6" s="552"/>
      <c r="W6" s="529">
        <f>IF(O6="węgiel",U6*$X$76,IF(O6="gaz",U6*$Y$76,IF(O6="drewno",U6*$Z$76,IF(O6="pelet",U6*$Z$76,IF(O6="olej opałowy",U6*$AB$76,IF(O6="sieć ciepłownicza",0,IF(O6="prąd",0,0)))))))</f>
        <v>0</v>
      </c>
      <c r="X6" s="529">
        <f>IF(O6="węgiel",U6*$X$77,IF(O6="gaz",U6*$Y$77,IF(O6="drewno",U6*$Z$77,IF(O6="pelet",U6*$Z$77,IF(O6="olej opałowy",U6*$AB$77,IF(O6="sieć ciepłownicza",0,IF(O6="prąd",0,0)))))))</f>
        <v>0</v>
      </c>
      <c r="Y6" s="529">
        <f>IF(O6="węgiel",U6*$X$78,IF(O6="gaz",U6*$Y$78,IF(O6="drewno",U6*$Z$78,IF(O6="pelet",U6*$Z$78,IF(O6="olej opałowy",U6*$AB$78,IF(O6="sieć ciepłownicza",0,IF(O6="prąd",0,0)))))))+V6*1.19</f>
        <v>0</v>
      </c>
      <c r="Z6" s="529">
        <f>IF(O6="węgiel",U6*$X$79,IF(O6="gaz",U6*$Y$79,IF(O6="drewno",U6*$Z$79,IF(O6="pelet",U6*$Z$79,IF(O6="olej opałowy",U6*$AB$79,IF(O6="sieć ciepłownicza",0,IF(O6="prąd",0,0)))))))</f>
        <v>0</v>
      </c>
      <c r="AA6" s="554">
        <f t="shared" ref="AA6:AA14" si="2">IF(O6="węgiel",U6*$X$80,IF(O6="gaz",U6*$Y$80,IF(O6="drewno",U6*$Z$80,IF(O6="pelet",U6*$AA$80,IF(O6="olej opałowy",U6*$AB$80,IF(O6="sieć ciepłownicza",0,IF(O6="prąd",0,0)))))))</f>
        <v>0</v>
      </c>
      <c r="AB6" s="529">
        <f>IF(O6="węgiel",U6*$X$81,IF(O6="gaz",U6*$Y$81,IF(O6="drewno",U6*$Z$81,IF(O6="pelet",U6*$Z$81,IF(O6="olej opałowy",U6*$AB$81,IF(O6="sieć ciepłownicza",0,IF(O6="prąd",0,0)))))))</f>
        <v>0</v>
      </c>
      <c r="AC6" s="529">
        <f>IF(O6="węgiel",U6*$X$82,IF(O6="gaz",U6*$Y$82,IF(O6="drewno",U6*$Z$82,IF(O6="pelet",U6*$Z$82,IF(O6="olej opałowy",U6*$AB$82,IF(O6="sieć ciepłownicza",0,IF(O6="prąd",0,0)))))))</f>
        <v>0</v>
      </c>
      <c r="AD6" s="88"/>
      <c r="AE6" s="250"/>
      <c r="AF6" s="499"/>
      <c r="AG6" s="250"/>
      <c r="AH6" s="250"/>
      <c r="AI6" s="250"/>
      <c r="AJ6" s="250"/>
      <c r="AK6" s="250"/>
      <c r="AL6" s="520"/>
      <c r="AM6" s="522"/>
    </row>
    <row r="7" spans="1:39" s="308" customFormat="1" ht="6.6">
      <c r="A7" s="551" t="s">
        <v>372</v>
      </c>
      <c r="B7" s="504">
        <f>SUM($C7:C$22)</f>
        <v>0</v>
      </c>
      <c r="C7" s="503" t="b">
        <f t="shared" si="1"/>
        <v>0</v>
      </c>
      <c r="D7" s="307"/>
      <c r="E7" s="504"/>
      <c r="F7" s="504"/>
      <c r="G7" s="504"/>
      <c r="H7" s="88"/>
      <c r="I7" s="88"/>
      <c r="J7" s="88"/>
      <c r="K7" s="88"/>
      <c r="L7" s="88"/>
      <c r="M7" s="371"/>
      <c r="N7" s="88"/>
      <c r="O7" s="88"/>
      <c r="P7" s="88"/>
      <c r="Q7" s="250"/>
      <c r="R7" s="250"/>
      <c r="S7" s="250"/>
      <c r="T7" s="88"/>
      <c r="U7" s="529">
        <f>IF(O7="węgiel",P7*'Założenia,wskaźniki, listy'!$B$4,IF(O7="gaz",P7*'Założenia,wskaźniki, listy'!$B$5,IF(O7="drewno",P7*'Założenia,wskaźniki, listy'!$B$6,IF(O7="pelet",P7*'Założenia,wskaźniki, listy'!$B$7,IF(O7="olej opałowy",P7*'Założenia,wskaźniki, listy'!$B$8,IF(O7="sieć ciepłownicza",0,0))))))</f>
        <v>0</v>
      </c>
      <c r="V7" s="553"/>
      <c r="W7" s="236">
        <f>IF(O7="węgiel",U7*$X$76,IF(O7="gaz",U7*$Y$76,IF(O7="drewno",U7*$Z$76,IF(O7="pelet",U7*$Z$76,IF(O7="olej opałowy",U7*$AB$76,IF(O7="sieć ciepłownicza",0,IF(O7="prąd",0,0)))))))</f>
        <v>0</v>
      </c>
      <c r="X7" s="236">
        <f>IF(O7="węgiel",U7*$X$77,IF(O7="gaz",U7*$Y$77,IF(O7="drewno",U7*$Z$77,IF(O7="pelet",U7*$Z$77,IF(O7="olej opałowy",U7*$AB$77,IF(O7="sieć ciepłownicza",0,IF(O7="prąd",0,0)))))))</f>
        <v>0</v>
      </c>
      <c r="Y7" s="236">
        <f>IF(O7="węgiel",U7*$X$78,IF(O7="gaz",U7*$Y$78,IF(O7="drewno",U7*$Z$78,IF(O7="pelet",U7*$Z$78,IF(O7="olej opałowy",U7*$AB$78,IF(O7="sieć ciepłownicza",0,IF(O7="prąd",0,0)))))))+V7*1.191</f>
        <v>0</v>
      </c>
      <c r="Z7" s="236">
        <f>IF(O7="węgiel",U7*$X$79,IF(O7="gaz",U7*$Y$79,IF(O7="drewno",U7*$Z$79,IF(O7="pelet",U7*$Z$79,IF(O7="olej opałowy",U7*$AB$79,IF(O7="sieć ciepłownicza",0,IF(O7="prąd",0,0)))))))</f>
        <v>0</v>
      </c>
      <c r="AA7" s="554">
        <f t="shared" si="2"/>
        <v>0</v>
      </c>
      <c r="AB7" s="236">
        <f>IF(O7="węgiel",U7*$X$81,IF(O7="gaz",U7*$Y$81,IF(O7="drewno",U7*$Z$81,IF(O7="pelet",U7*$Z$81,IF(O7="olej opałowy",U7*$AB$81,IF(O7="sieć ciepłownicza",0,IF(O7="prąd",0,0)))))))</f>
        <v>0</v>
      </c>
      <c r="AC7" s="236">
        <f>IF(O7="węgiel",U7*$X$82,IF(O7="gaz",U7*$Y$82,IF(O7="drewno",U7*$Z$82,IF(O7="pelet",U7*$Z$82,IF(O7="olej opałowy",U7*$AB$82,IF(O7="sieć ciepłownicza",0,IF(O7="prąd",0,0)))))))</f>
        <v>0</v>
      </c>
      <c r="AD7" s="88"/>
      <c r="AE7" s="250"/>
      <c r="AF7" s="499"/>
      <c r="AG7" s="250"/>
      <c r="AH7" s="250"/>
      <c r="AI7" s="250"/>
      <c r="AJ7" s="250"/>
      <c r="AK7" s="250"/>
      <c r="AL7" s="520"/>
      <c r="AM7" s="88"/>
    </row>
    <row r="8" spans="1:39" s="308" customFormat="1" ht="8.25" customHeight="1">
      <c r="A8" s="550"/>
      <c r="B8" s="504"/>
      <c r="C8" s="503"/>
      <c r="D8" s="1132"/>
      <c r="E8" s="1133"/>
      <c r="F8" s="504"/>
      <c r="G8" s="504"/>
      <c r="H8" s="88"/>
      <c r="I8" s="88"/>
      <c r="J8" s="88"/>
      <c r="K8" s="88"/>
      <c r="L8" s="88"/>
      <c r="M8" s="371"/>
      <c r="N8" s="88"/>
      <c r="O8" s="88"/>
      <c r="P8" s="88"/>
      <c r="Q8" s="1137"/>
      <c r="R8" s="250"/>
      <c r="S8" s="1137"/>
      <c r="T8" s="88"/>
      <c r="U8" s="236"/>
      <c r="V8" s="550"/>
      <c r="W8" s="236"/>
      <c r="X8" s="236"/>
      <c r="Y8" s="236"/>
      <c r="Z8" s="236"/>
      <c r="AA8" s="554"/>
      <c r="AB8" s="236"/>
      <c r="AC8" s="236"/>
      <c r="AD8" s="88"/>
      <c r="AE8" s="250"/>
      <c r="AF8" s="500"/>
      <c r="AG8" s="250"/>
      <c r="AH8" s="250"/>
      <c r="AI8" s="250"/>
      <c r="AJ8" s="1142"/>
      <c r="AK8" s="250"/>
      <c r="AL8" s="1140"/>
      <c r="AM8" s="88"/>
    </row>
    <row r="9" spans="1:39" s="308" customFormat="1" ht="11.25" customHeight="1">
      <c r="A9" s="550"/>
      <c r="B9" s="504"/>
      <c r="C9" s="503"/>
      <c r="D9" s="1009"/>
      <c r="E9" s="1009"/>
      <c r="F9" s="504"/>
      <c r="G9" s="504"/>
      <c r="H9" s="88"/>
      <c r="I9" s="88"/>
      <c r="J9" s="88"/>
      <c r="K9" s="88"/>
      <c r="L9" s="88"/>
      <c r="M9" s="371"/>
      <c r="N9" s="88"/>
      <c r="O9" s="88"/>
      <c r="P9" s="88"/>
      <c r="Q9" s="1009"/>
      <c r="R9" s="250"/>
      <c r="S9" s="1009"/>
      <c r="T9" s="88"/>
      <c r="U9" s="236"/>
      <c r="V9" s="549"/>
      <c r="W9" s="236"/>
      <c r="X9" s="236"/>
      <c r="Y9" s="236"/>
      <c r="Z9" s="236"/>
      <c r="AA9" s="554"/>
      <c r="AB9" s="236"/>
      <c r="AC9" s="236"/>
      <c r="AD9" s="88"/>
      <c r="AE9" s="250"/>
      <c r="AF9" s="500"/>
      <c r="AG9" s="250"/>
      <c r="AH9" s="250"/>
      <c r="AI9" s="250"/>
      <c r="AJ9" s="1143"/>
      <c r="AK9" s="250"/>
      <c r="AL9" s="1144"/>
      <c r="AM9" s="88"/>
    </row>
    <row r="10" spans="1:39" s="308" customFormat="1" ht="6.6">
      <c r="A10" s="514">
        <v>3</v>
      </c>
      <c r="B10" s="504">
        <f>SUM($C10:C$22)</f>
        <v>0</v>
      </c>
      <c r="C10" s="503" t="b">
        <f t="shared" ref="C10:C22" si="3">IF(ISTEXT(D10),1)</f>
        <v>0</v>
      </c>
      <c r="D10" s="307"/>
      <c r="E10" s="504"/>
      <c r="F10" s="504"/>
      <c r="G10" s="504"/>
      <c r="H10" s="88"/>
      <c r="I10" s="88"/>
      <c r="J10" s="88"/>
      <c r="K10" s="88"/>
      <c r="L10" s="88"/>
      <c r="M10" s="371">
        <f>IF(F10&lt;=1966,'Założenia,wskaźniki, listy'!$H$4,IF(F10&gt;1966,IF(F10&lt;=1985,'Założenia,wskaźniki, listy'!$H$5,IF(F10&gt;1985,IF(F10&lt;=1992,'Założenia,wskaźniki, listy'!$H$6,IF(F10&gt;1992,IF(F10&lt;=1996,'Założenia,wskaźniki, listy'!$H$7,IF(F10&gt;1996,IF(F10&lt;=2013,'Założenia,wskaźniki, listy'!$H$8)))))))))</f>
        <v>290</v>
      </c>
      <c r="N10" s="88"/>
      <c r="O10" s="88"/>
      <c r="P10" s="88"/>
      <c r="Q10" s="250"/>
      <c r="R10" s="250"/>
      <c r="S10" s="250"/>
      <c r="T10" s="88"/>
      <c r="U10" s="236">
        <f>IF(O10="węgiel",P10*'Założenia,wskaźniki, listy'!$B$4,IF(O10="gaz",P10*'Założenia,wskaźniki, listy'!$B$5,IF(O10="drewno",P10*'Założenia,wskaźniki, listy'!$B$6,IF(O10="pelet",P10*'Założenia,wskaźniki, listy'!$B$7,IF(O10="olej opałowy",P10*'Założenia,wskaźniki, listy'!$B$8,IF(O10="sieć ciepłownicza",0,0))))))</f>
        <v>0</v>
      </c>
      <c r="V10" s="236"/>
      <c r="W10" s="236">
        <f t="shared" ref="W10:W22" si="4">IF(O10="węgiel",U10*$X$76,IF(O10="gaz",U10*$Y$76,IF(O10="drewno",U10*$Z$76,IF(O10="pelet",U10*$Z$76,IF(O10="olej opałowy",U10*$AB$76,IF(O10="sieć ciepłownicza",0,IF(O10="prąd",0,0)))))))</f>
        <v>0</v>
      </c>
      <c r="X10" s="236">
        <f t="shared" ref="X10:X22" si="5">IF(O10="węgiel",U10*$X$77,IF(O10="gaz",U10*$Y$77,IF(O10="drewno",U10*$Z$77,IF(O10="pelet",U10*$Z$77,IF(O10="olej opałowy",U10*$AB$77,IF(O10="sieć ciepłownicza",0,IF(O10="prąd",0,0)))))))</f>
        <v>0</v>
      </c>
      <c r="Y10" s="236">
        <f t="shared" ref="Y10:Y22" si="6">IF(O10="węgiel",U10*$X$78,IF(O10="gaz",U10*$Y$78,IF(O10="drewno",U10*$Z$78,IF(O10="pelet",U10*$Z$78,IF(O10="olej opałowy",U10*$AB$78,IF(O10="sieć ciepłownicza",0,IF(O10="prąd",0,0)))))))+V10*1.19</f>
        <v>0</v>
      </c>
      <c r="Z10" s="236">
        <f t="shared" ref="Z10:Z22" si="7">IF(O10="węgiel",U10*$X$79,IF(O10="gaz",U10*$Y$79,IF(O10="drewno",U10*$Z$79,IF(O10="pelet",U10*$Z$79,IF(O10="olej opałowy",U10*$AB$79,IF(O10="sieć ciepłownicza",0,IF(O10="prąd",0,0)))))))</f>
        <v>0</v>
      </c>
      <c r="AA10" s="554">
        <f t="shared" si="2"/>
        <v>0</v>
      </c>
      <c r="AB10" s="236">
        <f t="shared" ref="AB10:AB22" si="8">IF(O10="węgiel",U10*$X$81,IF(O10="gaz",U10*$Y$81,IF(O10="drewno",U10*$Z$81,IF(O10="pelet",U10*$Z$81,IF(O10="olej opałowy",U10*$AB$81,IF(O10="sieć ciepłownicza",0,IF(O10="prąd",0,0)))))))</f>
        <v>0</v>
      </c>
      <c r="AC10" s="236">
        <f t="shared" ref="AC10:AC22" si="9">IF(O10="węgiel",U10*$X$82,IF(O10="gaz",U10*$Y$82,IF(O10="drewno",U10*$Z$82,IF(O10="pelet",U10*$Z$82,IF(O10="olej opałowy",U10*$AB$82,IF(O10="sieć ciepłownicza",0,IF(O10="prąd",0,0)))))))</f>
        <v>0</v>
      </c>
      <c r="AD10" s="88"/>
      <c r="AE10" s="250"/>
      <c r="AF10" s="500"/>
      <c r="AG10" s="250"/>
      <c r="AH10" s="250"/>
      <c r="AI10" s="250"/>
      <c r="AJ10" s="250"/>
      <c r="AK10" s="250"/>
      <c r="AL10" s="520"/>
      <c r="AM10" s="88"/>
    </row>
    <row r="11" spans="1:39" s="308" customFormat="1" ht="6.6">
      <c r="A11" s="526">
        <v>4</v>
      </c>
      <c r="B11" s="504">
        <f>SUM($C11:C$22)</f>
        <v>0</v>
      </c>
      <c r="C11" s="503" t="b">
        <f t="shared" ref="C11:C21" si="10">IF(ISTEXT(D11),1)</f>
        <v>0</v>
      </c>
      <c r="D11" s="524"/>
      <c r="E11" s="525"/>
      <c r="F11" s="504"/>
      <c r="G11" s="504"/>
      <c r="H11" s="88"/>
      <c r="I11" s="88"/>
      <c r="J11" s="88"/>
      <c r="K11" s="88"/>
      <c r="L11" s="88"/>
      <c r="M11" s="371">
        <f>IF(F11&lt;=1966,'Założenia,wskaźniki, listy'!$H$4,IF(F11&gt;1966,IF(F11&lt;=1985,'Założenia,wskaźniki, listy'!$H$5,IF(F11&gt;1985,IF(F11&lt;=1992,'Założenia,wskaźniki, listy'!$H$6,IF(F11&gt;1992,IF(F11&lt;=1996,'Założenia,wskaźniki, listy'!$H$7,IF(F11&gt;1996,IF(F11&lt;=2013,'Założenia,wskaźniki, listy'!$H$8)))))))))</f>
        <v>290</v>
      </c>
      <c r="N11" s="88"/>
      <c r="O11" s="88"/>
      <c r="P11" s="88"/>
      <c r="Q11" s="528"/>
      <c r="R11" s="250"/>
      <c r="S11" s="528"/>
      <c r="T11" s="88"/>
      <c r="U11" s="236">
        <f>IF(O11="węgiel",P11*'Założenia,wskaźniki, listy'!$B$4,IF(O11="gaz",P11*'Założenia,wskaźniki, listy'!$B$5,IF(O11="drewno",P11*'Założenia,wskaźniki, listy'!$B$6,IF(O11="pelet",P11*'Założenia,wskaźniki, listy'!$B$7,IF(O11="olej opałowy",P11*'Założenia,wskaźniki, listy'!$B$8,IF(O11="sieć ciepłownicza",0,0))))))</f>
        <v>0</v>
      </c>
      <c r="V11" s="527"/>
      <c r="W11" s="236">
        <f t="shared" si="4"/>
        <v>0</v>
      </c>
      <c r="X11" s="236">
        <f t="shared" si="5"/>
        <v>0</v>
      </c>
      <c r="Y11" s="529">
        <f t="shared" si="6"/>
        <v>0</v>
      </c>
      <c r="Z11" s="236">
        <f t="shared" si="7"/>
        <v>0</v>
      </c>
      <c r="AA11" s="554">
        <f t="shared" si="2"/>
        <v>0</v>
      </c>
      <c r="AB11" s="529">
        <f t="shared" si="8"/>
        <v>0</v>
      </c>
      <c r="AC11" s="236">
        <f t="shared" si="9"/>
        <v>0</v>
      </c>
      <c r="AD11" s="88"/>
      <c r="AE11" s="250"/>
      <c r="AF11" s="500"/>
      <c r="AG11" s="250"/>
      <c r="AH11" s="250"/>
      <c r="AI11" s="250"/>
      <c r="AJ11" s="250"/>
      <c r="AK11" s="250"/>
      <c r="AL11" s="520"/>
      <c r="AM11" s="88"/>
    </row>
    <row r="12" spans="1:39" s="308" customFormat="1" ht="6.6">
      <c r="A12" s="1134">
        <v>6</v>
      </c>
      <c r="B12" s="504">
        <f>SUM($C12:C$22)</f>
        <v>0</v>
      </c>
      <c r="C12" s="503" t="b">
        <f t="shared" si="10"/>
        <v>0</v>
      </c>
      <c r="D12" s="1132"/>
      <c r="E12" s="504"/>
      <c r="F12" s="504"/>
      <c r="G12" s="504"/>
      <c r="H12" s="88"/>
      <c r="I12" s="88"/>
      <c r="J12" s="88"/>
      <c r="K12" s="88"/>
      <c r="L12" s="88"/>
      <c r="M12" s="371">
        <f>IF(F12&lt;=1966,'Założenia,wskaźniki, listy'!$H$4,IF(F12&gt;1966,IF(F12&lt;=1985,'Założenia,wskaźniki, listy'!$H$5,IF(F12&gt;1985,IF(F12&lt;=1992,'Założenia,wskaźniki, listy'!$H$6,IF(F12&gt;1992,IF(F12&lt;=1996,'Założenia,wskaźniki, listy'!$H$7,IF(F12&gt;1996,IF(F12&lt;=2013,'Założenia,wskaźniki, listy'!$H$8)))))))))</f>
        <v>290</v>
      </c>
      <c r="N12" s="88"/>
      <c r="O12" s="88"/>
      <c r="P12" s="88"/>
      <c r="Q12" s="250"/>
      <c r="R12" s="250"/>
      <c r="S12" s="250"/>
      <c r="T12" s="88"/>
      <c r="U12" s="236">
        <f>IF(O12="węgiel",P12*'Założenia,wskaźniki, listy'!$B$4,IF(O12="gaz",P12*'Założenia,wskaźniki, listy'!$B$5,IF(O12="drewno",P12*'Założenia,wskaźniki, listy'!$B$6,IF(O12="pelet",P12*'Założenia,wskaźniki, listy'!$B$7,IF(O12="olej opałowy",P12*'Założenia,wskaźniki, listy'!$B$8,IF(O12="sieć ciepłownicza",0,0))))))</f>
        <v>0</v>
      </c>
      <c r="V12" s="1138"/>
      <c r="W12" s="236">
        <f t="shared" si="4"/>
        <v>0</v>
      </c>
      <c r="X12" s="236">
        <f t="shared" si="5"/>
        <v>0</v>
      </c>
      <c r="Y12" s="236">
        <f t="shared" si="6"/>
        <v>0</v>
      </c>
      <c r="Z12" s="236">
        <f t="shared" si="7"/>
        <v>0</v>
      </c>
      <c r="AA12" s="554">
        <f t="shared" si="2"/>
        <v>0</v>
      </c>
      <c r="AB12" s="236">
        <f t="shared" si="8"/>
        <v>0</v>
      </c>
      <c r="AC12" s="236">
        <f t="shared" si="9"/>
        <v>0</v>
      </c>
      <c r="AD12" s="88"/>
      <c r="AE12" s="250"/>
      <c r="AF12" s="500"/>
      <c r="AG12" s="250"/>
      <c r="AH12" s="250"/>
      <c r="AI12" s="250"/>
      <c r="AJ12" s="250"/>
      <c r="AK12" s="250"/>
      <c r="AL12" s="1140"/>
      <c r="AM12" s="88"/>
    </row>
    <row r="13" spans="1:39" s="308" customFormat="1" ht="6.6">
      <c r="A13" s="1135"/>
      <c r="B13" s="504">
        <f>SUM($C13:C$22)</f>
        <v>0</v>
      </c>
      <c r="C13" s="503" t="b">
        <f t="shared" si="10"/>
        <v>0</v>
      </c>
      <c r="D13" s="1009"/>
      <c r="E13" s="504"/>
      <c r="F13" s="504"/>
      <c r="G13" s="504"/>
      <c r="H13" s="88"/>
      <c r="I13" s="88"/>
      <c r="J13" s="88"/>
      <c r="K13" s="88"/>
      <c r="L13" s="88"/>
      <c r="M13" s="371">
        <f>IF(F13&lt;=1966,'Założenia,wskaźniki, listy'!$H$4,IF(F13&gt;1966,IF(F13&lt;=1985,'Założenia,wskaźniki, listy'!$H$5,IF(F13&gt;1985,IF(F13&lt;=1992,'Założenia,wskaźniki, listy'!$H$6,IF(F13&gt;1992,IF(F13&lt;=1996,'Założenia,wskaźniki, listy'!$H$7,IF(F13&gt;1996,IF(F13&lt;=2013,'Założenia,wskaźniki, listy'!$H$8)))))))))</f>
        <v>290</v>
      </c>
      <c r="N13" s="88"/>
      <c r="O13" s="88"/>
      <c r="P13" s="88"/>
      <c r="Q13" s="250"/>
      <c r="R13" s="250"/>
      <c r="S13" s="250"/>
      <c r="T13" s="88"/>
      <c r="U13" s="236">
        <f>IF(O13="węgiel",P13*'Założenia,wskaźniki, listy'!$B$4,IF(O13="gaz",P13*'Założenia,wskaźniki, listy'!$B$5,IF(O13="drewno",P13*'Założenia,wskaźniki, listy'!$B$6,IF(O13="pelet",P13*'Założenia,wskaźniki, listy'!$B$7,IF(O13="olej opałowy",P13*'Założenia,wskaźniki, listy'!$B$8,IF(O13="sieć ciepłownicza",0,0))))))</f>
        <v>0</v>
      </c>
      <c r="V13" s="1139"/>
      <c r="W13" s="236">
        <f t="shared" si="4"/>
        <v>0</v>
      </c>
      <c r="X13" s="236">
        <f t="shared" si="5"/>
        <v>0</v>
      </c>
      <c r="Y13" s="236">
        <f t="shared" si="6"/>
        <v>0</v>
      </c>
      <c r="Z13" s="236">
        <f t="shared" si="7"/>
        <v>0</v>
      </c>
      <c r="AA13" s="554">
        <f t="shared" si="2"/>
        <v>0</v>
      </c>
      <c r="AB13" s="236">
        <f t="shared" si="8"/>
        <v>0</v>
      </c>
      <c r="AC13" s="236">
        <f t="shared" si="9"/>
        <v>0</v>
      </c>
      <c r="AD13" s="88"/>
      <c r="AE13" s="250"/>
      <c r="AF13" s="500"/>
      <c r="AG13" s="250"/>
      <c r="AH13" s="250"/>
      <c r="AI13" s="250"/>
      <c r="AJ13" s="250"/>
      <c r="AK13" s="250"/>
      <c r="AL13" s="1141"/>
      <c r="AM13" s="88"/>
    </row>
    <row r="14" spans="1:39" s="308" customFormat="1" ht="6.6">
      <c r="A14" s="1135"/>
      <c r="B14" s="504">
        <f>SUM($C14:C$22)</f>
        <v>0</v>
      </c>
      <c r="C14" s="503" t="b">
        <f t="shared" si="10"/>
        <v>0</v>
      </c>
      <c r="D14" s="1009"/>
      <c r="E14" s="504"/>
      <c r="F14" s="504"/>
      <c r="G14" s="504"/>
      <c r="H14" s="88"/>
      <c r="I14" s="88"/>
      <c r="J14" s="88"/>
      <c r="K14" s="88"/>
      <c r="L14" s="88"/>
      <c r="M14" s="371">
        <f>IF(F14&lt;=1966,'Założenia,wskaźniki, listy'!$H$4,IF(F14&gt;1966,IF(F14&lt;=1985,'Założenia,wskaźniki, listy'!$H$5,IF(F14&gt;1985,IF(F14&lt;=1992,'Założenia,wskaźniki, listy'!$H$6,IF(F14&gt;1992,IF(F14&lt;=1996,'Założenia,wskaźniki, listy'!$H$7,IF(F14&gt;1996,IF(F14&lt;=2013,'Założenia,wskaźniki, listy'!$H$8)))))))))</f>
        <v>290</v>
      </c>
      <c r="N14" s="88"/>
      <c r="O14" s="88"/>
      <c r="P14" s="88"/>
      <c r="Q14" s="250"/>
      <c r="R14" s="250"/>
      <c r="S14" s="250"/>
      <c r="T14" s="88"/>
      <c r="U14" s="236">
        <f>IF(O14="węgiel",P14*'Założenia,wskaźniki, listy'!$B$4,IF(O14="gaz",P14*'Założenia,wskaźniki, listy'!$B$5,IF(O14="drewno",P14*'Założenia,wskaźniki, listy'!$B$6,IF(O14="pelet",P14*'Założenia,wskaźniki, listy'!$B$7,IF(O14="olej opałowy",P14*'Założenia,wskaźniki, listy'!$B$8,IF(O14="sieć ciepłownicza",0,0))))))</f>
        <v>0</v>
      </c>
      <c r="V14" s="1139"/>
      <c r="W14" s="236">
        <f t="shared" si="4"/>
        <v>0</v>
      </c>
      <c r="X14" s="236">
        <f t="shared" si="5"/>
        <v>0</v>
      </c>
      <c r="Y14" s="236">
        <f t="shared" si="6"/>
        <v>0</v>
      </c>
      <c r="Z14" s="236">
        <f t="shared" si="7"/>
        <v>0</v>
      </c>
      <c r="AA14" s="554">
        <f t="shared" si="2"/>
        <v>0</v>
      </c>
      <c r="AB14" s="236">
        <f t="shared" si="8"/>
        <v>0</v>
      </c>
      <c r="AC14" s="236">
        <f t="shared" si="9"/>
        <v>0</v>
      </c>
      <c r="AD14" s="88"/>
      <c r="AE14" s="250"/>
      <c r="AF14" s="500"/>
      <c r="AG14" s="250"/>
      <c r="AH14" s="250"/>
      <c r="AI14" s="250"/>
      <c r="AJ14" s="250"/>
      <c r="AK14" s="250"/>
      <c r="AL14" s="520"/>
      <c r="AM14" s="88"/>
    </row>
    <row r="15" spans="1:39" s="308" customFormat="1" ht="6.6">
      <c r="A15" s="1135"/>
      <c r="B15" s="504">
        <f>SUM($C15:C$22)</f>
        <v>0</v>
      </c>
      <c r="C15" s="503" t="b">
        <f t="shared" si="10"/>
        <v>0</v>
      </c>
      <c r="D15" s="1009"/>
      <c r="E15" s="504"/>
      <c r="F15" s="504"/>
      <c r="G15" s="504"/>
      <c r="H15" s="88"/>
      <c r="I15" s="88"/>
      <c r="J15" s="88"/>
      <c r="K15" s="88"/>
      <c r="L15" s="88"/>
      <c r="M15" s="371">
        <f>IF(F15&lt;=1966,'Założenia,wskaźniki, listy'!$H$4,IF(F15&gt;1966,IF(F15&lt;=1985,'Założenia,wskaźniki, listy'!$H$5,IF(F15&gt;1985,IF(F15&lt;=1992,'Założenia,wskaźniki, listy'!$H$6,IF(F15&gt;1992,IF(F15&lt;=1996,'Założenia,wskaźniki, listy'!$H$7,IF(F15&gt;1996,IF(F15&lt;=2013,'Założenia,wskaźniki, listy'!$H$8)))))))))</f>
        <v>290</v>
      </c>
      <c r="N15" s="88"/>
      <c r="O15" s="88"/>
      <c r="P15" s="88"/>
      <c r="Q15" s="250"/>
      <c r="R15" s="250"/>
      <c r="S15" s="250"/>
      <c r="T15" s="88"/>
      <c r="U15" s="519">
        <f>IF(O15="węgiel",P15*'Założenia,wskaźniki, listy'!$B$4,IF(O15="gaz",P15*'Założenia,wskaźniki, listy'!$B$5,IF(O15="drewno",P15*'Założenia,wskaźniki, listy'!$B$6,IF(O15="pelet",P15*'Założenia,wskaźniki, listy'!$B$7,IF(O15="olej opałowy",P15*'Założenia,wskaźniki, listy'!$B$8,IF(O15="sieć ciepłownicza",0,0))))))</f>
        <v>0</v>
      </c>
      <c r="V15" s="1139"/>
      <c r="W15" s="236">
        <f t="shared" si="4"/>
        <v>0</v>
      </c>
      <c r="X15" s="236">
        <f t="shared" si="5"/>
        <v>0</v>
      </c>
      <c r="Y15" s="236">
        <f t="shared" si="6"/>
        <v>0</v>
      </c>
      <c r="Z15" s="236">
        <f t="shared" si="7"/>
        <v>0</v>
      </c>
      <c r="AA15" s="236">
        <f>IF(O15="węgiel",U15*#REF!,IF(O15="gaz",U15*#REF!,IF(O15="drewno",U15*#REF!,IF(O15="pelet",U15*#REF!,IF(O15="olej opałowy",U15*#REF!,IF(O15="sieć ciepłownicza",0,IF(O15="prąd",0,0)))))))</f>
        <v>0</v>
      </c>
      <c r="AB15" s="236">
        <f t="shared" si="8"/>
        <v>0</v>
      </c>
      <c r="AC15" s="236">
        <f t="shared" si="9"/>
        <v>0</v>
      </c>
      <c r="AD15" s="88"/>
      <c r="AE15" s="250"/>
      <c r="AF15" s="500"/>
      <c r="AG15" s="250"/>
      <c r="AH15" s="250"/>
      <c r="AI15" s="250"/>
      <c r="AJ15" s="250"/>
      <c r="AK15" s="250"/>
      <c r="AL15" s="520"/>
      <c r="AM15" s="88"/>
    </row>
    <row r="16" spans="1:39" s="308" customFormat="1" ht="6.6">
      <c r="A16" s="1134">
        <v>7</v>
      </c>
      <c r="B16" s="504">
        <f>SUM($C16:C$22)</f>
        <v>0</v>
      </c>
      <c r="C16" s="503" t="b">
        <f t="shared" si="10"/>
        <v>0</v>
      </c>
      <c r="D16" s="1132"/>
      <c r="E16" s="1133"/>
      <c r="F16" s="504"/>
      <c r="G16" s="504"/>
      <c r="H16" s="88"/>
      <c r="I16" s="88"/>
      <c r="J16" s="88"/>
      <c r="K16" s="88"/>
      <c r="L16" s="88"/>
      <c r="M16" s="371">
        <f>IF(F16&lt;=1966,'Założenia,wskaźniki, listy'!$H$4,IF(F16&gt;1966,IF(F16&lt;=1985,'Założenia,wskaźniki, listy'!$H$5,IF(F16&gt;1985,IF(F16&lt;=1992,'Założenia,wskaźniki, listy'!$H$6,IF(F16&gt;1992,IF(F16&lt;=1996,'Założenia,wskaźniki, listy'!$H$7,IF(F16&gt;1996,IF(F16&lt;=2013,'Założenia,wskaźniki, listy'!$H$8)))))))))</f>
        <v>290</v>
      </c>
      <c r="N16" s="88"/>
      <c r="O16" s="88"/>
      <c r="P16" s="88"/>
      <c r="Q16" s="250"/>
      <c r="R16" s="250"/>
      <c r="S16" s="250"/>
      <c r="T16" s="88"/>
      <c r="U16" s="236">
        <f>IF(O16="węgiel",P16*'Założenia,wskaźniki, listy'!$B$4,IF(O16="gaz",P16*'Założenia,wskaźniki, listy'!$B$5,IF(O16="drewno",P16*'Założenia,wskaźniki, listy'!$B$6,IF(O16="pelet",P16*'Założenia,wskaźniki, listy'!$B$7,IF(O16="olej opałowy",P16*'Założenia,wskaźniki, listy'!$B$8,IF(O16="sieć ciepłownicza",0,0))))))</f>
        <v>0</v>
      </c>
      <c r="V16" s="236"/>
      <c r="W16" s="236">
        <f t="shared" si="4"/>
        <v>0</v>
      </c>
      <c r="X16" s="236">
        <f t="shared" si="5"/>
        <v>0</v>
      </c>
      <c r="Y16" s="236">
        <f t="shared" si="6"/>
        <v>0</v>
      </c>
      <c r="Z16" s="236">
        <f t="shared" si="7"/>
        <v>0</v>
      </c>
      <c r="AA16" s="236">
        <f>IF(O16="węgiel",U16*#REF!,IF(O16="gaz",U16*#REF!,IF(O16="drewno",U16*#REF!,IF(O16="pelet",U16*#REF!,IF(O16="olej opałowy",U16*#REF!,IF(O16="sieć ciepłownicza",0,IF(O16="prąd",0,0)))))))</f>
        <v>0</v>
      </c>
      <c r="AB16" s="236">
        <f t="shared" si="8"/>
        <v>0</v>
      </c>
      <c r="AC16" s="236">
        <f t="shared" si="9"/>
        <v>0</v>
      </c>
      <c r="AD16" s="88"/>
      <c r="AE16" s="250"/>
      <c r="AF16" s="500"/>
      <c r="AG16" s="250"/>
      <c r="AH16" s="250"/>
      <c r="AI16" s="250"/>
      <c r="AJ16" s="250"/>
      <c r="AK16" s="250"/>
      <c r="AL16" s="520"/>
      <c r="AM16" s="88"/>
    </row>
    <row r="17" spans="1:39" s="308" customFormat="1" ht="6.6">
      <c r="A17" s="1135"/>
      <c r="B17" s="504">
        <f>SUM($C17:C$22)</f>
        <v>0</v>
      </c>
      <c r="C17" s="503" t="b">
        <f t="shared" si="10"/>
        <v>0</v>
      </c>
      <c r="D17" s="1009"/>
      <c r="E17" s="1009"/>
      <c r="F17" s="504"/>
      <c r="G17" s="504"/>
      <c r="H17" s="88"/>
      <c r="I17" s="88"/>
      <c r="J17" s="88"/>
      <c r="K17" s="88"/>
      <c r="L17" s="88"/>
      <c r="M17" s="371">
        <f>IF(F17&lt;=1966,'Założenia,wskaźniki, listy'!$H$4,IF(F17&gt;1966,IF(F17&lt;=1985,'Założenia,wskaźniki, listy'!$H$5,IF(F17&gt;1985,IF(F17&lt;=1992,'Założenia,wskaźniki, listy'!$H$6,IF(F17&gt;1992,IF(F17&lt;=1996,'Założenia,wskaźniki, listy'!$H$7,IF(F17&gt;1996,IF(F17&lt;=2013,'Założenia,wskaźniki, listy'!$H$8)))))))))</f>
        <v>290</v>
      </c>
      <c r="N17" s="88"/>
      <c r="O17" s="88"/>
      <c r="P17" s="88"/>
      <c r="Q17" s="250"/>
      <c r="R17" s="250"/>
      <c r="S17" s="250"/>
      <c r="T17" s="88"/>
      <c r="U17" s="236">
        <f>IF(O17="węgiel",P17*'Założenia,wskaźniki, listy'!$B$4,IF(O17="gaz",P17*'Założenia,wskaźniki, listy'!$B$5,IF(O17="drewno",P17*'Założenia,wskaźniki, listy'!$B$6,IF(O17="pelet",P17*'Założenia,wskaźniki, listy'!$B$7,IF(O17="olej opałowy",P17*'Założenia,wskaźniki, listy'!$B$8,IF(O17="sieć ciepłownicza",0,0))))))</f>
        <v>0</v>
      </c>
      <c r="V17" s="236"/>
      <c r="W17" s="236">
        <f t="shared" si="4"/>
        <v>0</v>
      </c>
      <c r="X17" s="236">
        <f t="shared" si="5"/>
        <v>0</v>
      </c>
      <c r="Y17" s="236">
        <f t="shared" si="6"/>
        <v>0</v>
      </c>
      <c r="Z17" s="236">
        <f t="shared" si="7"/>
        <v>0</v>
      </c>
      <c r="AA17" s="236">
        <f>IF(O17="węgiel",U17*#REF!,IF(O17="gaz",U17*#REF!,IF(O17="drewno",U17*#REF!,IF(O17="pelet",U17*#REF!,IF(O17="olej opałowy",U17*#REF!,IF(O17="sieć ciepłownicza",0,IF(O17="prąd",0,0)))))))</f>
        <v>0</v>
      </c>
      <c r="AB17" s="236">
        <f t="shared" si="8"/>
        <v>0</v>
      </c>
      <c r="AC17" s="236">
        <f t="shared" si="9"/>
        <v>0</v>
      </c>
      <c r="AD17" s="88"/>
      <c r="AE17" s="250"/>
      <c r="AF17" s="500"/>
      <c r="AG17" s="250"/>
      <c r="AH17" s="250"/>
      <c r="AI17" s="250"/>
      <c r="AJ17" s="250"/>
      <c r="AK17" s="250"/>
      <c r="AL17" s="520"/>
      <c r="AM17" s="88"/>
    </row>
    <row r="18" spans="1:39" s="308" customFormat="1" ht="6.6">
      <c r="A18" s="1135"/>
      <c r="B18" s="504">
        <f>SUM($C18:C$22)</f>
        <v>0</v>
      </c>
      <c r="C18" s="503" t="b">
        <f t="shared" si="10"/>
        <v>0</v>
      </c>
      <c r="D18" s="1009"/>
      <c r="E18" s="1009"/>
      <c r="F18" s="504"/>
      <c r="G18" s="504"/>
      <c r="H18" s="88"/>
      <c r="I18" s="88"/>
      <c r="J18" s="88"/>
      <c r="K18" s="88"/>
      <c r="L18" s="88"/>
      <c r="M18" s="371">
        <f>IF(F18&lt;=1966,'Założenia,wskaźniki, listy'!$H$4,IF(F18&gt;1966,IF(F18&lt;=1985,'Założenia,wskaźniki, listy'!$H$5,IF(F18&gt;1985,IF(F18&lt;=1992,'Założenia,wskaźniki, listy'!$H$6,IF(F18&gt;1992,IF(F18&lt;=1996,'Założenia,wskaźniki, listy'!$H$7,IF(F18&gt;1996,IF(F18&lt;=2013,'Założenia,wskaźniki, listy'!$H$8)))))))))</f>
        <v>290</v>
      </c>
      <c r="N18" s="88"/>
      <c r="O18" s="88"/>
      <c r="P18" s="88"/>
      <c r="Q18" s="250"/>
      <c r="R18" s="250"/>
      <c r="S18" s="250"/>
      <c r="T18" s="88"/>
      <c r="U18" s="236">
        <f>IF(O18="węgiel",P18*'Założenia,wskaźniki, listy'!$B$4,IF(O18="gaz",P18*'Założenia,wskaźniki, listy'!$B$5,IF(O18="drewno",P18*'Założenia,wskaźniki, listy'!$B$6,IF(O18="pelet",P18*'Założenia,wskaźniki, listy'!$B$7,IF(O18="olej opałowy",P18*'Założenia,wskaźniki, listy'!$B$8,IF(O18="sieć ciepłownicza",0,0))))))</f>
        <v>0</v>
      </c>
      <c r="V18" s="236"/>
      <c r="W18" s="236">
        <f t="shared" si="4"/>
        <v>0</v>
      </c>
      <c r="X18" s="236">
        <f t="shared" si="5"/>
        <v>0</v>
      </c>
      <c r="Y18" s="236">
        <f t="shared" si="6"/>
        <v>0</v>
      </c>
      <c r="Z18" s="236">
        <f t="shared" si="7"/>
        <v>0</v>
      </c>
      <c r="AA18" s="236">
        <f>IF(O18="węgiel",U18*#REF!,IF(O18="gaz",U18*#REF!,IF(O18="drewno",U18*#REF!,IF(O18="pelet",U18*#REF!,IF(O18="olej opałowy",U18*#REF!,IF(O18="sieć ciepłownicza",0,IF(O18="prąd",0,0)))))))</f>
        <v>0</v>
      </c>
      <c r="AB18" s="236">
        <f t="shared" si="8"/>
        <v>0</v>
      </c>
      <c r="AC18" s="236">
        <f t="shared" si="9"/>
        <v>0</v>
      </c>
      <c r="AD18" s="88"/>
      <c r="AE18" s="250"/>
      <c r="AF18" s="500"/>
      <c r="AG18" s="250"/>
      <c r="AH18" s="250"/>
      <c r="AI18" s="250"/>
      <c r="AJ18" s="250"/>
      <c r="AK18" s="250"/>
      <c r="AL18" s="520"/>
      <c r="AM18" s="88"/>
    </row>
    <row r="19" spans="1:39" s="308" customFormat="1" ht="6.6">
      <c r="A19" s="1135"/>
      <c r="B19" s="504">
        <f>SUM($C19:C$22)</f>
        <v>0</v>
      </c>
      <c r="C19" s="503" t="b">
        <f t="shared" si="10"/>
        <v>0</v>
      </c>
      <c r="D19" s="1009"/>
      <c r="E19" s="1009"/>
      <c r="F19" s="504"/>
      <c r="G19" s="504"/>
      <c r="H19" s="88"/>
      <c r="I19" s="88"/>
      <c r="J19" s="88"/>
      <c r="K19" s="88"/>
      <c r="L19" s="88"/>
      <c r="M19" s="371">
        <f>IF(F19&lt;=1966,'Założenia,wskaźniki, listy'!$H$4,IF(F19&gt;1966,IF(F19&lt;=1985,'Założenia,wskaźniki, listy'!$H$5,IF(F19&gt;1985,IF(F19&lt;=1992,'Założenia,wskaźniki, listy'!$H$6,IF(F19&gt;1992,IF(F19&lt;=1996,'Założenia,wskaźniki, listy'!$H$7,IF(F19&gt;1996,IF(F19&lt;=2013,'Założenia,wskaźniki, listy'!$H$8)))))))))</f>
        <v>290</v>
      </c>
      <c r="N19" s="88"/>
      <c r="O19" s="88"/>
      <c r="P19" s="88"/>
      <c r="Q19" s="250"/>
      <c r="R19" s="250"/>
      <c r="S19" s="250"/>
      <c r="T19" s="88"/>
      <c r="U19" s="236">
        <f>IF(O19="węgiel",P19*'Założenia,wskaźniki, listy'!$B$4,IF(O19="gaz",P19*'Założenia,wskaźniki, listy'!$B$5,IF(O19="drewno",P19*'Założenia,wskaźniki, listy'!$B$6,IF(O19="pelet",P19*'Założenia,wskaźniki, listy'!$B$7,IF(O19="olej opałowy",P19*'Założenia,wskaźniki, listy'!$B$8,IF(O19="sieć ciepłownicza",0,0))))))</f>
        <v>0</v>
      </c>
      <c r="V19" s="236"/>
      <c r="W19" s="236">
        <f t="shared" si="4"/>
        <v>0</v>
      </c>
      <c r="X19" s="236">
        <f t="shared" si="5"/>
        <v>0</v>
      </c>
      <c r="Y19" s="236">
        <f t="shared" si="6"/>
        <v>0</v>
      </c>
      <c r="Z19" s="236">
        <f t="shared" si="7"/>
        <v>0</v>
      </c>
      <c r="AA19" s="236">
        <f>IF(O19="węgiel",U19*#REF!,IF(O19="gaz",U19*#REF!,IF(O19="drewno",U19*#REF!,IF(O19="pelet",U19*#REF!,IF(O19="olej opałowy",U19*#REF!,IF(O19="sieć ciepłownicza",0,IF(O19="prąd",0,0)))))))</f>
        <v>0</v>
      </c>
      <c r="AB19" s="236">
        <f t="shared" si="8"/>
        <v>0</v>
      </c>
      <c r="AC19" s="236">
        <f t="shared" si="9"/>
        <v>0</v>
      </c>
      <c r="AD19" s="88"/>
      <c r="AE19" s="250"/>
      <c r="AF19" s="500"/>
      <c r="AG19" s="250"/>
      <c r="AH19" s="250"/>
      <c r="AI19" s="250"/>
      <c r="AJ19" s="250"/>
      <c r="AK19" s="250"/>
      <c r="AL19" s="520"/>
      <c r="AM19" s="88"/>
    </row>
    <row r="20" spans="1:39" s="308" customFormat="1" ht="6.6">
      <c r="A20" s="514">
        <v>8</v>
      </c>
      <c r="B20" s="504">
        <f>SUM($C20:C$22)</f>
        <v>0</v>
      </c>
      <c r="C20" s="503" t="b">
        <f t="shared" si="10"/>
        <v>0</v>
      </c>
      <c r="D20" s="307"/>
      <c r="E20" s="504"/>
      <c r="F20" s="504"/>
      <c r="G20" s="504"/>
      <c r="H20" s="88"/>
      <c r="I20" s="88"/>
      <c r="J20" s="88"/>
      <c r="K20" s="88"/>
      <c r="L20" s="88"/>
      <c r="M20" s="371">
        <f>IF(F20&lt;=1966,'Założenia,wskaźniki, listy'!$H$4,IF(F20&gt;1966,IF(F20&lt;=1985,'Założenia,wskaźniki, listy'!$H$5,IF(F20&gt;1985,IF(F20&lt;=1992,'Założenia,wskaźniki, listy'!$H$6,IF(F20&gt;1992,IF(F20&lt;=1996,'Założenia,wskaźniki, listy'!$H$7,IF(F20&gt;1996,IF(F20&lt;=2013,'Założenia,wskaźniki, listy'!$H$8)))))))))</f>
        <v>290</v>
      </c>
      <c r="N20" s="88"/>
      <c r="O20" s="88"/>
      <c r="P20" s="88"/>
      <c r="Q20" s="250"/>
      <c r="R20" s="250"/>
      <c r="S20" s="250"/>
      <c r="T20" s="88"/>
      <c r="U20" s="236">
        <f>IF(O20="węgiel",P20*'Założenia,wskaźniki, listy'!$B$4,IF(O20="gaz",P20*'Założenia,wskaźniki, listy'!$B$5,IF(O20="drewno",P20*'Założenia,wskaźniki, listy'!$B$6,IF(O20="pelet",P20*'Założenia,wskaźniki, listy'!$B$7,IF(O20="olej opałowy",P20*'Założenia,wskaźniki, listy'!$B$8,IF(O20="sieć ciepłownicza",0,0))))))</f>
        <v>0</v>
      </c>
      <c r="V20" s="236"/>
      <c r="W20" s="236">
        <f t="shared" si="4"/>
        <v>0</v>
      </c>
      <c r="X20" s="236">
        <f t="shared" si="5"/>
        <v>0</v>
      </c>
      <c r="Y20" s="236">
        <f t="shared" si="6"/>
        <v>0</v>
      </c>
      <c r="Z20" s="236">
        <f t="shared" si="7"/>
        <v>0</v>
      </c>
      <c r="AA20" s="236">
        <f>IF(O20="węgiel",U20*#REF!,IF(O20="gaz",U20*#REF!,IF(O20="drewno",U20*#REF!,IF(O20="pelet",U20*#REF!,IF(O20="olej opałowy",U20*#REF!,IF(O20="sieć ciepłownicza",0,IF(O20="prąd",0,0)))))))</f>
        <v>0</v>
      </c>
      <c r="AB20" s="236">
        <f t="shared" si="8"/>
        <v>0</v>
      </c>
      <c r="AC20" s="236">
        <f t="shared" si="9"/>
        <v>0</v>
      </c>
      <c r="AD20" s="88"/>
      <c r="AE20" s="250"/>
      <c r="AF20" s="500"/>
      <c r="AG20" s="250"/>
      <c r="AH20" s="250"/>
      <c r="AI20" s="250"/>
      <c r="AJ20" s="250"/>
      <c r="AK20" s="250"/>
      <c r="AL20" s="520"/>
      <c r="AM20" s="88"/>
    </row>
    <row r="21" spans="1:39" s="308" customFormat="1" ht="6.6">
      <c r="A21" s="1134">
        <v>9</v>
      </c>
      <c r="B21" s="504">
        <f>SUM($C21:C$22)</f>
        <v>0</v>
      </c>
      <c r="C21" s="503" t="b">
        <f t="shared" si="10"/>
        <v>0</v>
      </c>
      <c r="D21" s="1132"/>
      <c r="E21" s="1133"/>
      <c r="F21" s="504"/>
      <c r="G21" s="504"/>
      <c r="H21" s="88"/>
      <c r="I21" s="88"/>
      <c r="J21" s="88"/>
      <c r="K21" s="88"/>
      <c r="L21" s="88"/>
      <c r="M21" s="371">
        <f>IF(F21&lt;=1966,'Założenia,wskaźniki, listy'!$H$4,IF(F21&gt;1966,IF(F21&lt;=1985,'Założenia,wskaźniki, listy'!$H$5,IF(F21&gt;1985,IF(F21&lt;=1992,'Założenia,wskaźniki, listy'!$H$6,IF(F21&gt;1992,IF(F21&lt;=1996,'Założenia,wskaźniki, listy'!$H$7,IF(F21&gt;1996,IF(F21&lt;=2013,'Założenia,wskaźniki, listy'!$H$8)))))))))</f>
        <v>290</v>
      </c>
      <c r="N21" s="88"/>
      <c r="O21" s="88"/>
      <c r="P21" s="88"/>
      <c r="Q21" s="250"/>
      <c r="R21" s="250"/>
      <c r="S21" s="250"/>
      <c r="T21" s="88"/>
      <c r="U21" s="236">
        <f>IF(O21="węgiel",P21*'Założenia,wskaźniki, listy'!$B$4,IF(O21="gaz",P21*'Założenia,wskaźniki, listy'!$B$5,IF(O21="drewno",P21*'Założenia,wskaźniki, listy'!$B$6,IF(O21="pelet",P21*'Założenia,wskaźniki, listy'!$B$7,IF(O21="olej opałowy",P21*'Założenia,wskaźniki, listy'!$B$8,IF(O21="sieć ciepłownicza",0,0))))))</f>
        <v>0</v>
      </c>
      <c r="V21" s="1136"/>
      <c r="W21" s="236">
        <f t="shared" si="4"/>
        <v>0</v>
      </c>
      <c r="X21" s="236">
        <f t="shared" si="5"/>
        <v>0</v>
      </c>
      <c r="Y21" s="236">
        <f t="shared" si="6"/>
        <v>0</v>
      </c>
      <c r="Z21" s="236">
        <f t="shared" si="7"/>
        <v>0</v>
      </c>
      <c r="AA21" s="236">
        <f>IF(O21="węgiel",U21*#REF!,IF(O21="gaz",U21*#REF!,IF(O21="drewno",U21*#REF!,IF(O21="pelet",U21*#REF!,IF(O21="olej opałowy",U21*#REF!,IF(O21="sieć ciepłownicza",0,IF(O21="prąd",0,0)))))))</f>
        <v>0</v>
      </c>
      <c r="AB21" s="236">
        <f t="shared" si="8"/>
        <v>0</v>
      </c>
      <c r="AC21" s="236">
        <f t="shared" si="9"/>
        <v>0</v>
      </c>
      <c r="AD21" s="88"/>
      <c r="AE21" s="250"/>
      <c r="AF21" s="500"/>
      <c r="AG21" s="250"/>
      <c r="AH21" s="250"/>
      <c r="AI21" s="250"/>
      <c r="AJ21" s="250"/>
      <c r="AK21" s="250"/>
      <c r="AL21" s="520"/>
      <c r="AM21" s="88"/>
    </row>
    <row r="22" spans="1:39" s="308" customFormat="1" ht="6.6">
      <c r="A22" s="1135"/>
      <c r="B22" s="504">
        <f>SUM($C22:C$22)</f>
        <v>0</v>
      </c>
      <c r="C22" s="503" t="b">
        <f t="shared" si="3"/>
        <v>0</v>
      </c>
      <c r="D22" s="1009"/>
      <c r="E22" s="1009"/>
      <c r="F22" s="504"/>
      <c r="G22" s="504"/>
      <c r="H22" s="88"/>
      <c r="I22" s="88"/>
      <c r="J22" s="88"/>
      <c r="K22" s="88"/>
      <c r="L22" s="88"/>
      <c r="M22" s="371">
        <f>IF(F22&lt;=1966,'Założenia,wskaźniki, listy'!$H$4,IF(F22&gt;1966,IF(F22&lt;=1985,'Założenia,wskaźniki, listy'!$H$5,IF(F22&gt;1985,IF(F22&lt;=1992,'Założenia,wskaźniki, listy'!$H$6,IF(F22&gt;1992,IF(F22&lt;=1996,'Założenia,wskaźniki, listy'!$H$7,IF(F22&gt;1996,IF(F22&lt;=2013,'Założenia,wskaźniki, listy'!$H$8)))))))))</f>
        <v>290</v>
      </c>
      <c r="N22" s="88"/>
      <c r="O22" s="88"/>
      <c r="P22" s="88"/>
      <c r="Q22" s="250"/>
      <c r="R22" s="250"/>
      <c r="S22" s="250"/>
      <c r="T22" s="88"/>
      <c r="U22" s="236">
        <f>IF(O22="węgiel",P22*'Założenia,wskaźniki, listy'!$B$4,IF(O22="gaz",P22*'Założenia,wskaźniki, listy'!$B$5,IF(O22="drewno",P22*'Założenia,wskaźniki, listy'!$B$6,IF(O22="pelet",P22*'Założenia,wskaźniki, listy'!$B$7,IF(O22="olej opałowy",P22*'Założenia,wskaźniki, listy'!$B$8,IF(O22="sieć ciepłownicza",0,0))))))</f>
        <v>0</v>
      </c>
      <c r="V22" s="1135"/>
      <c r="W22" s="236">
        <f t="shared" si="4"/>
        <v>0</v>
      </c>
      <c r="X22" s="236">
        <f t="shared" si="5"/>
        <v>0</v>
      </c>
      <c r="Y22" s="236">
        <f t="shared" si="6"/>
        <v>0</v>
      </c>
      <c r="Z22" s="236">
        <f t="shared" si="7"/>
        <v>0</v>
      </c>
      <c r="AA22" s="236">
        <f>IF(O22="węgiel",U22*#REF!,IF(O22="gaz",U22*#REF!,IF(O22="drewno",U22*#REF!,IF(O22="pelet",U22*#REF!,IF(O22="olej opałowy",U22*#REF!,IF(O22="sieć ciepłownicza",0,IF(O22="prąd",0,0)))))))</f>
        <v>0</v>
      </c>
      <c r="AB22" s="236">
        <f t="shared" si="8"/>
        <v>0</v>
      </c>
      <c r="AC22" s="236">
        <f t="shared" si="9"/>
        <v>0</v>
      </c>
      <c r="AD22" s="88"/>
      <c r="AE22" s="250"/>
      <c r="AF22" s="500"/>
      <c r="AG22" s="250"/>
      <c r="AH22" s="250"/>
      <c r="AI22" s="250"/>
      <c r="AJ22" s="250"/>
      <c r="AK22" s="250"/>
      <c r="AL22" s="520"/>
      <c r="AM22" s="88"/>
    </row>
    <row r="23" spans="1:39" s="308" customFormat="1" ht="17.25" customHeight="1">
      <c r="A23" s="1131"/>
      <c r="B23" s="1131"/>
      <c r="C23" s="1131"/>
      <c r="D23" s="1131"/>
      <c r="E23" s="1131"/>
      <c r="F23" s="515"/>
      <c r="G23" s="515"/>
      <c r="H23" s="516"/>
      <c r="I23" s="516"/>
      <c r="J23" s="516"/>
      <c r="K23" s="516"/>
      <c r="L23" s="516"/>
      <c r="M23" s="516"/>
      <c r="N23" s="516"/>
      <c r="O23" s="516"/>
      <c r="P23" s="516"/>
      <c r="Q23" s="517"/>
      <c r="R23" s="517"/>
      <c r="S23" s="517"/>
      <c r="T23" s="516"/>
      <c r="U23" s="518"/>
      <c r="V23" s="518"/>
      <c r="W23" s="518"/>
      <c r="X23" s="518"/>
      <c r="Y23" s="518"/>
      <c r="Z23" s="518"/>
      <c r="AA23" s="518"/>
      <c r="AB23" s="518"/>
      <c r="AC23" s="518"/>
      <c r="AD23" s="88"/>
      <c r="AE23" s="250"/>
      <c r="AF23" s="507"/>
      <c r="AG23" s="327"/>
      <c r="AH23" s="327"/>
      <c r="AI23" s="327"/>
      <c r="AJ23" s="327"/>
      <c r="AK23" s="327"/>
      <c r="AL23" s="327"/>
    </row>
    <row r="24" spans="1:39" s="80" customFormat="1" ht="6.6">
      <c r="A24" s="1116" t="s">
        <v>308</v>
      </c>
      <c r="B24" s="1116"/>
      <c r="C24" s="1116"/>
      <c r="D24" s="1116"/>
      <c r="E24" s="1116"/>
      <c r="F24" s="1116"/>
      <c r="G24" s="1116"/>
      <c r="H24" s="1116"/>
      <c r="I24" s="1116"/>
      <c r="J24" s="1116"/>
      <c r="K24" s="1116"/>
      <c r="L24" s="1116"/>
      <c r="M24" s="1116"/>
      <c r="N24" s="1116"/>
      <c r="O24" s="1116"/>
      <c r="P24" s="1116"/>
      <c r="Q24" s="1116"/>
      <c r="R24" s="1116"/>
      <c r="S24" s="1116"/>
      <c r="T24" s="1116"/>
      <c r="U24" s="1116"/>
      <c r="V24" s="1116"/>
      <c r="W24" s="77">
        <f>SUM(W5:W23)</f>
        <v>0</v>
      </c>
      <c r="X24" s="77">
        <f t="shared" ref="X24:AC24" si="11">SUM(X5:X23)</f>
        <v>0</v>
      </c>
      <c r="Y24" s="77">
        <f t="shared" si="11"/>
        <v>0</v>
      </c>
      <c r="Z24" s="77">
        <f t="shared" si="11"/>
        <v>0</v>
      </c>
      <c r="AA24" s="77">
        <f t="shared" si="11"/>
        <v>0</v>
      </c>
      <c r="AB24" s="77">
        <f t="shared" si="11"/>
        <v>0</v>
      </c>
      <c r="AC24" s="77">
        <f t="shared" si="11"/>
        <v>0</v>
      </c>
      <c r="AD24" s="86"/>
      <c r="AE24" s="86"/>
      <c r="AG24" s="291" t="e">
        <f>SUM(#REF!)</f>
        <v>#REF!</v>
      </c>
      <c r="AH24" s="291" t="e">
        <f>SUM(#REF!)</f>
        <v>#REF!</v>
      </c>
      <c r="AI24" s="291" t="e">
        <f>SUM(#REF!)</f>
        <v>#REF!</v>
      </c>
      <c r="AJ24" s="291" t="e">
        <f>SUM(#REF!)</f>
        <v>#REF!</v>
      </c>
      <c r="AK24" s="291" t="e">
        <f>SUM(#REF!)</f>
        <v>#REF!</v>
      </c>
      <c r="AL24" s="291" t="e">
        <f>SUM(#REF!)</f>
        <v>#REF!</v>
      </c>
      <c r="AM24" s="291" t="e">
        <f>SUM(#REF!)</f>
        <v>#REF!</v>
      </c>
    </row>
    <row r="26" spans="1:39">
      <c r="W26" s="482"/>
    </row>
    <row r="73" spans="23:29">
      <c r="X73" s="556" t="s">
        <v>391</v>
      </c>
    </row>
    <row r="74" spans="23:29">
      <c r="W74" s="422" t="s">
        <v>73</v>
      </c>
      <c r="X74" s="423" t="s">
        <v>8</v>
      </c>
      <c r="Y74" s="423" t="s">
        <v>26</v>
      </c>
      <c r="Z74" s="423" t="s">
        <v>79</v>
      </c>
      <c r="AA74" s="424" t="s">
        <v>27</v>
      </c>
      <c r="AB74" s="424" t="s">
        <v>76</v>
      </c>
      <c r="AC74" s="423" t="s">
        <v>74</v>
      </c>
    </row>
    <row r="75" spans="23:29">
      <c r="W75" s="422" t="s">
        <v>75</v>
      </c>
      <c r="X75" s="427"/>
      <c r="Y75" s="427"/>
      <c r="Z75" s="427"/>
      <c r="AA75" s="427"/>
      <c r="AB75" s="427"/>
      <c r="AC75" s="427"/>
    </row>
    <row r="76" spans="23:29">
      <c r="W76" s="428" t="s">
        <v>66</v>
      </c>
      <c r="X76" s="450">
        <f>190/1000000</f>
        <v>1.9000000000000001E-4</v>
      </c>
      <c r="Y76" s="450">
        <f>0.5/1000000</f>
        <v>4.9999999999999998E-7</v>
      </c>
      <c r="Z76" s="450">
        <f>76/1000000</f>
        <v>7.6000000000000004E-5</v>
      </c>
      <c r="AA76" s="450">
        <f>Z76</f>
        <v>7.6000000000000004E-5</v>
      </c>
      <c r="AB76" s="445">
        <f>3/1000000</f>
        <v>3.0000000000000001E-6</v>
      </c>
      <c r="AC76" s="429">
        <v>0</v>
      </c>
    </row>
    <row r="77" spans="23:29">
      <c r="W77" s="428" t="s">
        <v>67</v>
      </c>
      <c r="X77" s="450">
        <f>170/1000000</f>
        <v>1.7000000000000001E-4</v>
      </c>
      <c r="Y77" s="450">
        <f>0.5/1000000</f>
        <v>4.9999999999999998E-7</v>
      </c>
      <c r="Z77" s="450">
        <f>76/1000000</f>
        <v>7.6000000000000004E-5</v>
      </c>
      <c r="AA77" s="450">
        <f t="shared" ref="AA77:AA81" si="12">Z77</f>
        <v>7.6000000000000004E-5</v>
      </c>
      <c r="AB77" s="445">
        <f>3/1000000</f>
        <v>3.0000000000000001E-6</v>
      </c>
      <c r="AC77" s="429">
        <v>0</v>
      </c>
    </row>
    <row r="78" spans="23:29">
      <c r="W78" s="428" t="s">
        <v>68</v>
      </c>
      <c r="X78" s="506">
        <f>93.74/1000</f>
        <v>9.373999999999999E-2</v>
      </c>
      <c r="Y78" s="506">
        <f>55.82/1000</f>
        <v>5.5820000000000002E-2</v>
      </c>
      <c r="Z78" s="506">
        <v>0</v>
      </c>
      <c r="AA78" s="506">
        <f t="shared" si="12"/>
        <v>0</v>
      </c>
      <c r="AB78" s="506">
        <f>76.59/1000</f>
        <v>7.6590000000000005E-2</v>
      </c>
      <c r="AC78" s="429">
        <f>93.97/1000</f>
        <v>9.3969999999999998E-2</v>
      </c>
    </row>
    <row r="79" spans="23:29">
      <c r="W79" s="428" t="s">
        <v>69</v>
      </c>
      <c r="X79" s="450">
        <f>100/1000000000</f>
        <v>9.9999999999999995E-8</v>
      </c>
      <c r="Y79" s="450">
        <v>0</v>
      </c>
      <c r="Z79" s="450">
        <f>50/1000000000</f>
        <v>4.9999999999999998E-8</v>
      </c>
      <c r="AA79" s="450">
        <f t="shared" si="12"/>
        <v>4.9999999999999998E-8</v>
      </c>
      <c r="AB79" s="445">
        <f>10/1000000000</f>
        <v>1E-8</v>
      </c>
      <c r="AC79" s="429">
        <v>0</v>
      </c>
    </row>
    <row r="80" spans="23:29">
      <c r="W80" s="428" t="s">
        <v>213</v>
      </c>
      <c r="X80" s="450">
        <f>900/1000000</f>
        <v>8.9999999999999998E-4</v>
      </c>
      <c r="Y80" s="450">
        <f>0.5/1000000</f>
        <v>4.9999999999999998E-7</v>
      </c>
      <c r="Z80" s="450">
        <f>20/1000000</f>
        <v>2.0000000000000002E-5</v>
      </c>
      <c r="AA80" s="450">
        <f t="shared" si="12"/>
        <v>2.0000000000000002E-5</v>
      </c>
      <c r="AB80" s="445">
        <f>140/1000000</f>
        <v>1.3999999999999999E-4</v>
      </c>
      <c r="AC80" s="429"/>
    </row>
    <row r="81" spans="23:29">
      <c r="W81" s="428" t="s">
        <v>71</v>
      </c>
      <c r="X81" s="450">
        <f>160/1000000</f>
        <v>1.6000000000000001E-4</v>
      </c>
      <c r="Y81" s="450">
        <f>70/1000000</f>
        <v>6.9999999999999994E-5</v>
      </c>
      <c r="Z81" s="450">
        <f>20/1000000</f>
        <v>2.0000000000000002E-5</v>
      </c>
      <c r="AA81" s="450">
        <f t="shared" si="12"/>
        <v>2.0000000000000002E-5</v>
      </c>
      <c r="AB81" s="445">
        <f>70/1000000</f>
        <v>6.9999999999999994E-5</v>
      </c>
      <c r="AC81" s="429">
        <v>0</v>
      </c>
    </row>
    <row r="82" spans="23:29" ht="14.4" thickBot="1">
      <c r="W82" s="433" t="s">
        <v>72</v>
      </c>
      <c r="X82" s="450">
        <v>2.0116227089852479E-3</v>
      </c>
      <c r="Y82" s="450">
        <v>7.5000000000000002E-6</v>
      </c>
      <c r="Z82" s="450">
        <v>1.794E-4</v>
      </c>
      <c r="AA82" s="445">
        <v>1.794E-4</v>
      </c>
      <c r="AB82" s="445">
        <v>1.625355393043083E-5</v>
      </c>
      <c r="AC82" s="435">
        <v>0</v>
      </c>
    </row>
  </sheetData>
  <mergeCells count="54">
    <mergeCell ref="AM2:AM3"/>
    <mergeCell ref="A1:AE1"/>
    <mergeCell ref="A2:A3"/>
    <mergeCell ref="B2:C3"/>
    <mergeCell ref="D2:D3"/>
    <mergeCell ref="E2:E3"/>
    <mergeCell ref="F2:F3"/>
    <mergeCell ref="G2:G3"/>
    <mergeCell ref="H2:H3"/>
    <mergeCell ref="I2:I3"/>
    <mergeCell ref="J2:J3"/>
    <mergeCell ref="U2:U3"/>
    <mergeCell ref="K2:L3"/>
    <mergeCell ref="AK2:AK3"/>
    <mergeCell ref="AL2:AL3"/>
    <mergeCell ref="AJ2:AJ3"/>
    <mergeCell ref="K4:L4"/>
    <mergeCell ref="AH2:AH3"/>
    <mergeCell ref="AI2:AI3"/>
    <mergeCell ref="V2:V3"/>
    <mergeCell ref="S2:S3"/>
    <mergeCell ref="T2:T3"/>
    <mergeCell ref="M2:M3"/>
    <mergeCell ref="AD2:AD3"/>
    <mergeCell ref="AE2:AE3"/>
    <mergeCell ref="AF2:AF3"/>
    <mergeCell ref="AG2:AG3"/>
    <mergeCell ref="W2:AC2"/>
    <mergeCell ref="N2:N3"/>
    <mergeCell ref="O2:O3"/>
    <mergeCell ref="P2:P3"/>
    <mergeCell ref="Q2:Q3"/>
    <mergeCell ref="A5:A6"/>
    <mergeCell ref="D5:D6"/>
    <mergeCell ref="E5:E6"/>
    <mergeCell ref="E8:E9"/>
    <mergeCell ref="D8:D9"/>
    <mergeCell ref="Q8:Q9"/>
    <mergeCell ref="S8:S9"/>
    <mergeCell ref="V12:V15"/>
    <mergeCell ref="AL12:AL13"/>
    <mergeCell ref="AJ8:AJ9"/>
    <mergeCell ref="AL8:AL9"/>
    <mergeCell ref="A12:A15"/>
    <mergeCell ref="D12:D15"/>
    <mergeCell ref="D16:D19"/>
    <mergeCell ref="E16:E19"/>
    <mergeCell ref="A16:A19"/>
    <mergeCell ref="A23:E23"/>
    <mergeCell ref="A24:V24"/>
    <mergeCell ref="D21:D22"/>
    <mergeCell ref="E21:E22"/>
    <mergeCell ref="A21:A22"/>
    <mergeCell ref="V21:V2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D00-000000000000}">
          <x14:formula1>
            <xm:f>'Założenia,wskaźniki, listy'!$U$24:$U$32</xm:f>
          </x14:formula1>
          <xm:sqref>AJ5:AJ8 AJ10:AJ23</xm:sqref>
        </x14:dataValidation>
        <x14:dataValidation type="list" allowBlank="1" showInputMessage="1" showErrorMessage="1" xr:uid="{00000000-0002-0000-0D00-000001000000}">
          <x14:formula1>
            <xm:f>'Założenia,wskaźniki, listy'!$A$4:$A$10</xm:f>
          </x14:formula1>
          <xm:sqref>O5:O23 T5:T23</xm:sqref>
        </x14:dataValidation>
        <x14:dataValidation type="list" allowBlank="1" showInputMessage="1" showErrorMessage="1" xr:uid="{00000000-0002-0000-0D00-000002000000}">
          <x14:formula1>
            <xm:f>'Założenia,wskaźniki, listy'!$M$31:$M$32</xm:f>
          </x14:formula1>
          <xm:sqref>AD5:AD23</xm:sqref>
        </x14:dataValidation>
        <x14:dataValidation type="list" allowBlank="1" showInputMessage="1" showErrorMessage="1" xr:uid="{00000000-0002-0000-0D00-000003000000}">
          <x14:formula1>
            <xm:f>'Założenia,wskaźniki, listy'!$N$12:$N$16</xm:f>
          </x14:formula1>
          <xm:sqref>AE5:AE23</xm:sqref>
        </x14:dataValidation>
        <x14:dataValidation type="list" allowBlank="1" showInputMessage="1" showErrorMessage="1" xr:uid="{00000000-0002-0000-0D00-000004000000}">
          <x14:formula1>
            <xm:f>'Założenia,wskaźniki, listy'!$J$65:$J$68</xm:f>
          </x14:formula1>
          <xm:sqref>AG5:AG23</xm:sqref>
        </x14:dataValidation>
        <x14:dataValidation type="list" allowBlank="1" showInputMessage="1" showErrorMessage="1" xr:uid="{00000000-0002-0000-0D00-000005000000}">
          <x14:formula1>
            <xm:f>'Założenia,wskaźniki, listy'!$N$18:$N$25</xm:f>
          </x14:formula1>
          <xm:sqref>AH5:AH23</xm:sqref>
        </x14:dataValidation>
        <x14:dataValidation type="list" allowBlank="1" showInputMessage="1" showErrorMessage="1" xr:uid="{00000000-0002-0000-0D00-000006000000}">
          <x14:formula1>
            <xm:f>'Założenia,wskaźniki, listy'!$Q$25:$Q$28</xm:f>
          </x14:formula1>
          <xm:sqref>H5:H23</xm:sqref>
        </x14:dataValidation>
        <x14:dataValidation type="list" allowBlank="1" showInputMessage="1" showErrorMessage="1" xr:uid="{00000000-0002-0000-0D00-000007000000}">
          <x14:formula1>
            <xm:f>'Założenia,wskaźniki, listy'!$O$25:$O$28</xm:f>
          </x14:formula1>
          <xm:sqref>I5:I23</xm:sqref>
        </x14:dataValidation>
        <x14:dataValidation type="list" allowBlank="1" showInputMessage="1" showErrorMessage="1" xr:uid="{00000000-0002-0000-0D00-000008000000}">
          <x14:formula1>
            <xm:f>'Założenia,wskaźniki, listy'!$S$25:$S$30</xm:f>
          </x14:formula1>
          <xm:sqref>J5:J23</xm:sqref>
        </x14:dataValidation>
        <x14:dataValidation type="list" allowBlank="1" showInputMessage="1" showErrorMessage="1" xr:uid="{00000000-0002-0000-0D00-000009000000}">
          <x14:formula1>
            <xm:f>'Założenia,wskaźniki, listy'!$F$13:$F$15</xm:f>
          </x14:formula1>
          <xm:sqref>N5:N23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K16"/>
  <sheetViews>
    <sheetView topLeftCell="CG1" zoomScale="160" zoomScaleNormal="160" workbookViewId="0">
      <selection activeCell="CN21" sqref="CN21"/>
    </sheetView>
  </sheetViews>
  <sheetFormatPr defaultRowHeight="13.8"/>
  <cols>
    <col min="1" max="1" width="4.19921875" customWidth="1"/>
    <col min="2" max="3" width="0" hidden="1" customWidth="1"/>
    <col min="6" max="14" width="0" hidden="1" customWidth="1"/>
    <col min="18" max="18" width="9" customWidth="1"/>
    <col min="20" max="20" width="0" hidden="1" customWidth="1"/>
    <col min="22" max="45" width="9" customWidth="1"/>
    <col min="48" max="49" width="4.8984375" bestFit="1" customWidth="1"/>
    <col min="50" max="50" width="4.3984375" bestFit="1" customWidth="1"/>
    <col min="51" max="54" width="4.8984375" bestFit="1" customWidth="1"/>
    <col min="55" max="91" width="9" customWidth="1"/>
  </cols>
  <sheetData>
    <row r="1" spans="1:89" ht="14.4" thickBot="1">
      <c r="A1" s="1155" t="s">
        <v>298</v>
      </c>
      <c r="B1" s="1155"/>
      <c r="C1" s="1155"/>
      <c r="D1" s="1155"/>
      <c r="E1" s="1155"/>
      <c r="F1" s="1155"/>
      <c r="G1" s="1155"/>
      <c r="H1" s="1155"/>
      <c r="I1" s="1155"/>
      <c r="J1" s="1155"/>
      <c r="K1" s="1155"/>
      <c r="L1" s="1155"/>
      <c r="M1" s="1155"/>
      <c r="N1" s="1155"/>
      <c r="O1" s="1155"/>
      <c r="P1" s="1155"/>
      <c r="Q1" s="1155"/>
      <c r="R1" s="1155"/>
      <c r="S1" s="1155"/>
      <c r="T1" s="1155"/>
      <c r="U1" s="1155"/>
      <c r="V1" s="1155"/>
      <c r="W1" s="1155"/>
      <c r="X1" s="1155"/>
      <c r="Y1" s="1155"/>
      <c r="Z1" s="1155"/>
      <c r="AA1" s="1155"/>
      <c r="AB1" s="1155"/>
      <c r="AC1" s="1155"/>
      <c r="AD1" s="1155"/>
      <c r="AE1" s="1155"/>
      <c r="AF1" s="1155"/>
      <c r="AG1" s="1155"/>
      <c r="AH1" s="1155"/>
      <c r="AI1" s="1155"/>
      <c r="AJ1" s="1155"/>
      <c r="AK1" s="1155"/>
      <c r="AL1" s="1155"/>
      <c r="AM1" s="1155"/>
      <c r="AN1" s="1155"/>
      <c r="AO1" s="1156"/>
      <c r="AP1" s="1156"/>
      <c r="AQ1" s="1156"/>
      <c r="AR1" s="1156"/>
      <c r="AS1" s="1156"/>
      <c r="AT1" s="1156"/>
      <c r="AU1" s="1156"/>
      <c r="AV1" s="1156"/>
      <c r="AW1" s="1156"/>
      <c r="AX1" s="1156"/>
      <c r="AY1" s="1155"/>
      <c r="AZ1" s="1155"/>
      <c r="BA1" s="1155"/>
      <c r="BB1" s="1155"/>
      <c r="BC1" s="1155"/>
      <c r="BD1" s="1155"/>
    </row>
    <row r="2" spans="1:89" s="310" customFormat="1" ht="8.4">
      <c r="A2" s="1157" t="s">
        <v>4</v>
      </c>
      <c r="B2" s="1159" t="s">
        <v>156</v>
      </c>
      <c r="C2" s="1160"/>
      <c r="D2" s="1163" t="s">
        <v>157</v>
      </c>
      <c r="E2" s="1165" t="s">
        <v>159</v>
      </c>
      <c r="F2" s="1147" t="s">
        <v>24</v>
      </c>
      <c r="G2" s="1147" t="s">
        <v>160</v>
      </c>
      <c r="H2" s="1147" t="s">
        <v>161</v>
      </c>
      <c r="I2" s="1147" t="s">
        <v>162</v>
      </c>
      <c r="J2" s="1147" t="s">
        <v>264</v>
      </c>
      <c r="K2" s="1167" t="s">
        <v>164</v>
      </c>
      <c r="L2" s="1149"/>
      <c r="M2" s="1147" t="s">
        <v>34</v>
      </c>
      <c r="N2" s="1147" t="s">
        <v>77</v>
      </c>
      <c r="O2" s="1147" t="s">
        <v>25</v>
      </c>
      <c r="P2" s="1147" t="s">
        <v>30</v>
      </c>
      <c r="Q2" s="1147" t="s">
        <v>83</v>
      </c>
      <c r="R2" s="466" t="s">
        <v>357</v>
      </c>
      <c r="S2" s="1147" t="s">
        <v>84</v>
      </c>
      <c r="T2" s="1147" t="s">
        <v>78</v>
      </c>
      <c r="U2" s="1147" t="s">
        <v>118</v>
      </c>
      <c r="V2" s="1147" t="s">
        <v>47</v>
      </c>
      <c r="W2" s="1147" t="s">
        <v>96</v>
      </c>
      <c r="X2" s="1147" t="s">
        <v>47</v>
      </c>
      <c r="Y2" s="1150" t="s">
        <v>80</v>
      </c>
      <c r="Z2" s="1151"/>
      <c r="AA2" s="1151"/>
      <c r="AB2" s="1151"/>
      <c r="AC2" s="1151"/>
      <c r="AD2" s="1151"/>
      <c r="AE2" s="1179"/>
      <c r="AF2" s="468">
        <v>200</v>
      </c>
      <c r="AG2" s="1151" t="s">
        <v>349</v>
      </c>
      <c r="AH2" s="1151"/>
      <c r="AI2" s="1151"/>
      <c r="AJ2" s="1151"/>
      <c r="AK2" s="1151"/>
      <c r="AL2" s="1179"/>
      <c r="AM2" s="1150" t="s">
        <v>81</v>
      </c>
      <c r="AN2" s="1151"/>
      <c r="AO2" s="1151"/>
      <c r="AP2" s="1151"/>
      <c r="AQ2" s="1151"/>
      <c r="AR2" s="1151"/>
      <c r="AS2" s="1179"/>
      <c r="AT2" s="1147" t="s">
        <v>165</v>
      </c>
      <c r="AU2" s="1147" t="s">
        <v>166</v>
      </c>
      <c r="AV2" s="1150" t="s">
        <v>82</v>
      </c>
      <c r="AW2" s="1151"/>
      <c r="AX2" s="1151"/>
      <c r="AY2" s="1151"/>
      <c r="AZ2" s="1151"/>
      <c r="BA2" s="1151"/>
      <c r="BB2" s="1152"/>
      <c r="BC2" s="1149" t="s">
        <v>85</v>
      </c>
      <c r="BD2" s="1147" t="s">
        <v>89</v>
      </c>
      <c r="BE2" s="1147" t="s">
        <v>283</v>
      </c>
      <c r="BF2" s="1147" t="s">
        <v>168</v>
      </c>
      <c r="BG2" s="1147" t="s">
        <v>89</v>
      </c>
      <c r="BH2" s="1147" t="s">
        <v>169</v>
      </c>
      <c r="BI2" s="1147" t="s">
        <v>170</v>
      </c>
      <c r="BJ2" s="1147" t="s">
        <v>171</v>
      </c>
      <c r="BK2" s="1153" t="s">
        <v>169</v>
      </c>
      <c r="BN2" s="160" t="s">
        <v>114</v>
      </c>
      <c r="BO2" s="161" t="s">
        <v>115</v>
      </c>
      <c r="BP2" s="311" t="s">
        <v>38</v>
      </c>
      <c r="BQ2" s="161" t="s">
        <v>115</v>
      </c>
      <c r="BR2" s="311" t="s">
        <v>40</v>
      </c>
      <c r="BS2" s="161" t="s">
        <v>115</v>
      </c>
      <c r="BT2" s="311" t="s">
        <v>42</v>
      </c>
      <c r="BU2" s="161" t="s">
        <v>115</v>
      </c>
      <c r="BV2" s="311" t="s">
        <v>44</v>
      </c>
      <c r="BW2" s="233"/>
      <c r="BX2" s="96" t="s">
        <v>8</v>
      </c>
      <c r="BY2" s="474" t="s">
        <v>116</v>
      </c>
      <c r="BZ2" s="474" t="s">
        <v>79</v>
      </c>
      <c r="CA2" s="474" t="s">
        <v>27</v>
      </c>
      <c r="CB2" s="474" t="s">
        <v>117</v>
      </c>
      <c r="CC2" s="159" t="s">
        <v>29</v>
      </c>
      <c r="CD2" s="160" t="s">
        <v>8</v>
      </c>
      <c r="CE2" s="161" t="s">
        <v>116</v>
      </c>
      <c r="CF2" s="161" t="s">
        <v>79</v>
      </c>
      <c r="CG2" s="161" t="s">
        <v>27</v>
      </c>
      <c r="CH2" s="161" t="s">
        <v>117</v>
      </c>
      <c r="CI2" s="162" t="s">
        <v>29</v>
      </c>
    </row>
    <row r="3" spans="1:89" s="310" customFormat="1" ht="7.8">
      <c r="A3" s="1158"/>
      <c r="B3" s="1161"/>
      <c r="C3" s="1162"/>
      <c r="D3" s="1164"/>
      <c r="E3" s="1166"/>
      <c r="F3" s="1148"/>
      <c r="G3" s="1148"/>
      <c r="H3" s="1148"/>
      <c r="I3" s="1148"/>
      <c r="J3" s="1148"/>
      <c r="K3" s="1054"/>
      <c r="L3" s="1056"/>
      <c r="M3" s="1148"/>
      <c r="N3" s="1148"/>
      <c r="O3" s="1148"/>
      <c r="P3" s="1148"/>
      <c r="Q3" s="1148"/>
      <c r="R3" s="467"/>
      <c r="S3" s="1148"/>
      <c r="T3" s="1148"/>
      <c r="U3" s="1148"/>
      <c r="V3" s="1148"/>
      <c r="W3" s="1148"/>
      <c r="X3" s="1148"/>
      <c r="Y3" s="248" t="s">
        <v>66</v>
      </c>
      <c r="Z3" s="248" t="s">
        <v>67</v>
      </c>
      <c r="AA3" s="248" t="s">
        <v>68</v>
      </c>
      <c r="AB3" s="248" t="s">
        <v>69</v>
      </c>
      <c r="AC3" s="248" t="s">
        <v>70</v>
      </c>
      <c r="AD3" s="248" t="s">
        <v>71</v>
      </c>
      <c r="AE3" s="248" t="s">
        <v>72</v>
      </c>
      <c r="AF3" s="248" t="s">
        <v>66</v>
      </c>
      <c r="AG3" s="248" t="s">
        <v>67</v>
      </c>
      <c r="AH3" s="248" t="s">
        <v>68</v>
      </c>
      <c r="AI3" s="248" t="s">
        <v>69</v>
      </c>
      <c r="AJ3" s="248" t="s">
        <v>70</v>
      </c>
      <c r="AK3" s="248" t="s">
        <v>71</v>
      </c>
      <c r="AL3" s="248" t="s">
        <v>72</v>
      </c>
      <c r="AM3" s="248" t="s">
        <v>66</v>
      </c>
      <c r="AN3" s="248" t="s">
        <v>67</v>
      </c>
      <c r="AO3" s="248" t="s">
        <v>68</v>
      </c>
      <c r="AP3" s="248" t="s">
        <v>69</v>
      </c>
      <c r="AQ3" s="248" t="s">
        <v>70</v>
      </c>
      <c r="AR3" s="248" t="s">
        <v>71</v>
      </c>
      <c r="AS3" s="248" t="s">
        <v>72</v>
      </c>
      <c r="AT3" s="1148"/>
      <c r="AU3" s="1148"/>
      <c r="AV3" s="248" t="s">
        <v>66</v>
      </c>
      <c r="AW3" s="248" t="s">
        <v>67</v>
      </c>
      <c r="AX3" s="248" t="s">
        <v>100</v>
      </c>
      <c r="AY3" s="248" t="s">
        <v>69</v>
      </c>
      <c r="AZ3" s="248" t="s">
        <v>70</v>
      </c>
      <c r="BA3" s="248" t="s">
        <v>71</v>
      </c>
      <c r="BB3" s="476" t="s">
        <v>72</v>
      </c>
      <c r="BC3" s="1056"/>
      <c r="BD3" s="1148"/>
      <c r="BE3" s="1148"/>
      <c r="BF3" s="1148"/>
      <c r="BG3" s="1148"/>
      <c r="BH3" s="1148"/>
      <c r="BI3" s="1148"/>
      <c r="BJ3" s="1148"/>
      <c r="BK3" s="1176"/>
      <c r="BL3" s="234"/>
      <c r="BN3" s="312"/>
      <c r="BO3" s="313"/>
      <c r="BP3" s="313"/>
      <c r="BQ3" s="313"/>
      <c r="BR3" s="313"/>
      <c r="BS3" s="313"/>
      <c r="BT3" s="313"/>
      <c r="BU3" s="313"/>
      <c r="BV3" s="313"/>
      <c r="BW3" s="314"/>
      <c r="BX3" s="309"/>
      <c r="BY3" s="309"/>
      <c r="BZ3" s="309"/>
      <c r="CA3" s="309"/>
      <c r="CB3" s="309"/>
      <c r="CC3" s="309"/>
      <c r="CD3" s="312"/>
      <c r="CE3" s="313"/>
      <c r="CF3" s="313"/>
      <c r="CG3" s="313"/>
      <c r="CH3" s="313"/>
      <c r="CI3" s="314"/>
    </row>
    <row r="4" spans="1:89" s="310" customFormat="1" ht="9" thickBot="1">
      <c r="A4" s="477">
        <v>1</v>
      </c>
      <c r="B4" s="473"/>
      <c r="C4" s="473"/>
      <c r="D4" s="315">
        <v>2</v>
      </c>
      <c r="E4" s="316">
        <v>3</v>
      </c>
      <c r="F4" s="473">
        <v>4</v>
      </c>
      <c r="G4" s="473">
        <v>5</v>
      </c>
      <c r="H4" s="473">
        <v>6</v>
      </c>
      <c r="I4" s="473">
        <v>7</v>
      </c>
      <c r="J4" s="473">
        <v>8</v>
      </c>
      <c r="K4" s="1177">
        <v>6</v>
      </c>
      <c r="L4" s="1178"/>
      <c r="M4" s="473">
        <v>5</v>
      </c>
      <c r="N4" s="473">
        <v>10</v>
      </c>
      <c r="O4" s="317">
        <v>4</v>
      </c>
      <c r="P4" s="473">
        <v>5</v>
      </c>
      <c r="Q4" s="473">
        <v>6</v>
      </c>
      <c r="R4" s="473">
        <v>100</v>
      </c>
      <c r="S4" s="317">
        <v>7</v>
      </c>
      <c r="T4" s="473">
        <v>15</v>
      </c>
      <c r="U4" s="473">
        <v>8</v>
      </c>
      <c r="V4" s="473">
        <v>12</v>
      </c>
      <c r="W4" s="473">
        <v>13</v>
      </c>
      <c r="X4" s="473">
        <v>14</v>
      </c>
      <c r="Y4" s="473">
        <v>15</v>
      </c>
      <c r="Z4" s="473">
        <v>16</v>
      </c>
      <c r="AA4" s="473">
        <v>17</v>
      </c>
      <c r="AB4" s="473">
        <v>18</v>
      </c>
      <c r="AC4" s="473">
        <v>19</v>
      </c>
      <c r="AD4" s="473">
        <v>20</v>
      </c>
      <c r="AE4" s="473">
        <v>21</v>
      </c>
      <c r="AF4" s="473"/>
      <c r="AG4" s="473"/>
      <c r="AH4" s="473"/>
      <c r="AI4" s="473"/>
      <c r="AJ4" s="473"/>
      <c r="AK4" s="473"/>
      <c r="AL4" s="473"/>
      <c r="AM4" s="473">
        <v>29</v>
      </c>
      <c r="AN4" s="473">
        <v>30</v>
      </c>
      <c r="AO4" s="473">
        <v>31</v>
      </c>
      <c r="AP4" s="473">
        <v>32</v>
      </c>
      <c r="AQ4" s="473">
        <v>33</v>
      </c>
      <c r="AR4" s="473">
        <v>34</v>
      </c>
      <c r="AS4" s="473">
        <v>35</v>
      </c>
      <c r="AT4" s="473">
        <v>9</v>
      </c>
      <c r="AU4" s="473">
        <v>10</v>
      </c>
      <c r="AV4" s="473">
        <v>11</v>
      </c>
      <c r="AW4" s="473">
        <v>12</v>
      </c>
      <c r="AX4" s="473">
        <f>AW4+1</f>
        <v>13</v>
      </c>
      <c r="AY4" s="473">
        <f t="shared" ref="AY4:BK4" si="0">AX4+1</f>
        <v>14</v>
      </c>
      <c r="AZ4" s="473">
        <f t="shared" si="0"/>
        <v>15</v>
      </c>
      <c r="BA4" s="473">
        <f t="shared" si="0"/>
        <v>16</v>
      </c>
      <c r="BB4" s="478">
        <f t="shared" si="0"/>
        <v>17</v>
      </c>
      <c r="BC4" s="479">
        <f t="shared" si="0"/>
        <v>18</v>
      </c>
      <c r="BD4" s="473">
        <f t="shared" si="0"/>
        <v>19</v>
      </c>
      <c r="BE4" s="473">
        <f t="shared" si="0"/>
        <v>20</v>
      </c>
      <c r="BF4" s="317">
        <f t="shared" si="0"/>
        <v>21</v>
      </c>
      <c r="BG4" s="473">
        <f t="shared" si="0"/>
        <v>22</v>
      </c>
      <c r="BH4" s="473">
        <f t="shared" si="0"/>
        <v>23</v>
      </c>
      <c r="BI4" s="473">
        <f t="shared" si="0"/>
        <v>24</v>
      </c>
      <c r="BJ4" s="473">
        <f t="shared" si="0"/>
        <v>25</v>
      </c>
      <c r="BK4" s="473">
        <f t="shared" si="0"/>
        <v>26</v>
      </c>
      <c r="BN4" s="318"/>
      <c r="BO4" s="319"/>
      <c r="BP4" s="319"/>
      <c r="BQ4" s="319"/>
      <c r="BR4" s="319"/>
      <c r="BS4" s="319"/>
      <c r="BT4" s="319"/>
      <c r="BU4" s="319"/>
      <c r="BV4" s="319"/>
      <c r="BW4" s="320"/>
      <c r="BX4" s="110"/>
      <c r="BY4" s="110"/>
      <c r="BZ4" s="110"/>
      <c r="CA4" s="110"/>
      <c r="CB4" s="110"/>
      <c r="CC4" s="110"/>
      <c r="CD4" s="318"/>
      <c r="CE4" s="319"/>
      <c r="CF4" s="319"/>
      <c r="CG4" s="319"/>
      <c r="CH4" s="319"/>
      <c r="CI4" s="320"/>
    </row>
    <row r="5" spans="1:89" s="308" customFormat="1" ht="8.4">
      <c r="A5" s="1174" t="s">
        <v>358</v>
      </c>
      <c r="B5" s="306">
        <f>SUM($C5:C$7)</f>
        <v>0</v>
      </c>
      <c r="C5" s="321" t="b">
        <f t="shared" ref="C5:C12" si="1">IF(ISTEXT(D5),1)</f>
        <v>0</v>
      </c>
      <c r="D5" s="1172"/>
      <c r="E5" s="1173"/>
      <c r="F5" s="306"/>
      <c r="G5" s="306"/>
      <c r="H5" s="304"/>
      <c r="I5" s="304"/>
      <c r="J5" s="304"/>
      <c r="K5" s="304"/>
      <c r="L5" s="304"/>
      <c r="M5" s="304">
        <v>290</v>
      </c>
      <c r="N5" s="304"/>
      <c r="O5" s="304"/>
      <c r="P5" s="304"/>
      <c r="Q5" s="305"/>
      <c r="R5" s="305"/>
      <c r="S5" s="305"/>
      <c r="T5" s="304"/>
      <c r="U5" s="480">
        <f t="shared" ref="U5:U7" si="2">IF(V5&gt;0,(W5+X5+V5)/2,W5+X5)</f>
        <v>0</v>
      </c>
      <c r="V5" s="481">
        <v>0</v>
      </c>
      <c r="W5" s="249">
        <v>0</v>
      </c>
      <c r="X5" s="249">
        <v>0</v>
      </c>
      <c r="Y5" s="249">
        <v>0</v>
      </c>
      <c r="Z5" s="249">
        <v>0</v>
      </c>
      <c r="AA5" s="249">
        <v>0</v>
      </c>
      <c r="AB5" s="249">
        <v>0</v>
      </c>
      <c r="AC5" s="249">
        <v>0</v>
      </c>
      <c r="AD5" s="249">
        <v>0</v>
      </c>
      <c r="AE5" s="249">
        <v>0</v>
      </c>
      <c r="AF5" s="453">
        <v>0</v>
      </c>
      <c r="AG5" s="453">
        <v>0</v>
      </c>
      <c r="AH5" s="453">
        <v>0</v>
      </c>
      <c r="AI5" s="453">
        <v>0</v>
      </c>
      <c r="AJ5" s="453">
        <v>0</v>
      </c>
      <c r="AK5" s="453">
        <v>0</v>
      </c>
      <c r="AL5" s="453">
        <v>0</v>
      </c>
      <c r="AM5" s="249">
        <v>0</v>
      </c>
      <c r="AN5" s="249">
        <v>0</v>
      </c>
      <c r="AO5" s="249">
        <v>0</v>
      </c>
      <c r="AP5" s="249">
        <v>0</v>
      </c>
      <c r="AQ5" s="249">
        <v>0</v>
      </c>
      <c r="AR5" s="249">
        <v>0</v>
      </c>
      <c r="AS5" s="249">
        <v>0</v>
      </c>
      <c r="AT5" s="249">
        <f t="shared" ref="AT5:AT12" si="3">U5</f>
        <v>0</v>
      </c>
      <c r="AU5" s="249"/>
      <c r="AV5" s="249">
        <v>0</v>
      </c>
      <c r="AW5" s="249">
        <v>0</v>
      </c>
      <c r="AX5" s="249">
        <f>AU5*1.19</f>
        <v>0</v>
      </c>
      <c r="AY5" s="249">
        <v>0</v>
      </c>
      <c r="AZ5" s="249">
        <v>0</v>
      </c>
      <c r="BA5" s="249">
        <v>0</v>
      </c>
      <c r="BB5" s="249">
        <v>0</v>
      </c>
      <c r="BC5" s="88"/>
      <c r="BD5" s="250"/>
      <c r="BE5" s="475"/>
      <c r="BF5" s="250"/>
      <c r="BG5" s="250"/>
      <c r="BH5" s="250"/>
      <c r="BI5" s="250"/>
      <c r="BJ5" s="250"/>
      <c r="BK5" s="323"/>
      <c r="BN5" s="318">
        <f t="shared" ref="BN5:BN12" si="4">IF(F5&lt;=1966,G5)</f>
        <v>0</v>
      </c>
      <c r="BO5" s="319" t="b">
        <f t="shared" ref="BO5:BO12" si="5">IF(N5="kompletna",BN5,IF(N5="częściowa",0.5*BN5))</f>
        <v>0</v>
      </c>
      <c r="BP5" s="319" t="b">
        <f t="shared" ref="BP5:BP12" si="6">IF(F5&gt;1966,IF(F5&lt;=1985,G5))</f>
        <v>0</v>
      </c>
      <c r="BQ5" s="319" t="b">
        <f t="shared" ref="BQ5:BQ12" si="7">IF(N5="kompletna",BP5,IF(N5="częściowa",0.5*BP5))</f>
        <v>0</v>
      </c>
      <c r="BR5" s="319" t="b">
        <f t="shared" ref="BR5:BR12" si="8">IF(F5&gt;1985,IF(F5&lt;=1992,G5))</f>
        <v>0</v>
      </c>
      <c r="BS5" s="319" t="b">
        <f t="shared" ref="BS5:BS12" si="9">IF(N5="kompletna",BR5,IF(N5="częściowa",0.5*BR5))</f>
        <v>0</v>
      </c>
      <c r="BT5" s="319" t="b">
        <f t="shared" ref="BT5:BT12" si="10">IF(F5&gt;1992,IF(F5&lt;=1996,G5))</f>
        <v>0</v>
      </c>
      <c r="BU5" s="319" t="b">
        <f t="shared" ref="BU5:BU12" si="11">IF(N5="kompletna",BT5,IF(N5="częściowa",0.5*BT5))</f>
        <v>0</v>
      </c>
      <c r="BV5" s="319" t="b">
        <f t="shared" ref="BV5:BV12" si="12">IF(F5&gt;1996,IF(F5&lt;=2014,G5))</f>
        <v>0</v>
      </c>
      <c r="BW5" s="320" t="b">
        <f t="shared" ref="BW5:BW12" si="13">IF(N5="kompletna",BV5,IF(N5="częściowa",0.5*BV5))</f>
        <v>0</v>
      </c>
      <c r="BX5" s="110" t="b">
        <f t="shared" ref="BX5:BX12" si="14">IF(O5="węgiel",X5)</f>
        <v>0</v>
      </c>
      <c r="BY5" s="110" t="b">
        <f t="shared" ref="BY5:BY12" si="15">IF(O5="gaz",U5)</f>
        <v>0</v>
      </c>
      <c r="BZ5" s="110" t="b">
        <f t="shared" ref="BZ5:BZ12" si="16">IF(O5="drewno",X5)</f>
        <v>0</v>
      </c>
      <c r="CA5" s="110" t="b">
        <f t="shared" ref="CA5:CA12" si="17">IF(O5="pelet",X5)</f>
        <v>0</v>
      </c>
      <c r="CB5" s="110" t="b">
        <f t="shared" ref="CB5:CB12" si="18">IF(O5="olej opałowy",X5)</f>
        <v>0</v>
      </c>
      <c r="CC5" s="110" t="b">
        <f t="shared" ref="CC5:CC12" si="19">IF(O5="prąd",U5)</f>
        <v>0</v>
      </c>
      <c r="CD5" s="318" t="b">
        <f t="shared" ref="CD5:CD12" si="20">IF(T5="węgiel",W5)</f>
        <v>0</v>
      </c>
      <c r="CE5" s="319" t="b">
        <f t="shared" ref="CE5:CE12" si="21">IF(T5="gaz",W5)</f>
        <v>0</v>
      </c>
      <c r="CF5" s="319" t="b">
        <f t="shared" ref="CF5:CF12" si="22">IF(T5="drewno",W5)</f>
        <v>0</v>
      </c>
      <c r="CG5" s="319" t="b">
        <f t="shared" ref="CG5:CG12" si="23">IF(T5="pelet",W5)</f>
        <v>0</v>
      </c>
      <c r="CH5" s="319" t="b">
        <f t="shared" ref="CH5:CH12" si="24">IF(T5="olej opałowy",W5)</f>
        <v>0</v>
      </c>
      <c r="CI5" s="320" t="b">
        <f t="shared" ref="CI5:CI12" si="25">IF(T5="prąd",W5)</f>
        <v>0</v>
      </c>
    </row>
    <row r="6" spans="1:89" s="308" customFormat="1" ht="8.4">
      <c r="A6" s="1175"/>
      <c r="B6" s="469">
        <f>SUM($C6:C$7)</f>
        <v>0</v>
      </c>
      <c r="C6" s="472" t="b">
        <f t="shared" si="1"/>
        <v>0</v>
      </c>
      <c r="D6" s="998"/>
      <c r="E6" s="998"/>
      <c r="F6" s="469"/>
      <c r="G6" s="469"/>
      <c r="H6" s="88"/>
      <c r="I6" s="88"/>
      <c r="J6" s="88"/>
      <c r="K6" s="88"/>
      <c r="L6" s="88"/>
      <c r="M6" s="88">
        <v>290</v>
      </c>
      <c r="N6" s="88"/>
      <c r="O6" s="304"/>
      <c r="P6" s="88"/>
      <c r="Q6" s="250"/>
      <c r="R6" s="250"/>
      <c r="S6" s="250"/>
      <c r="T6" s="88"/>
      <c r="U6" s="282">
        <f t="shared" si="2"/>
        <v>0</v>
      </c>
      <c r="V6" s="298">
        <v>0</v>
      </c>
      <c r="W6" s="236">
        <v>0</v>
      </c>
      <c r="X6" s="249">
        <v>0</v>
      </c>
      <c r="Y6" s="249">
        <v>0</v>
      </c>
      <c r="Z6" s="249">
        <v>0</v>
      </c>
      <c r="AA6" s="249">
        <v>0</v>
      </c>
      <c r="AB6" s="249">
        <v>0</v>
      </c>
      <c r="AC6" s="249">
        <v>0</v>
      </c>
      <c r="AD6" s="249">
        <v>0</v>
      </c>
      <c r="AE6" s="249">
        <v>0</v>
      </c>
      <c r="AF6" s="453">
        <v>0</v>
      </c>
      <c r="AG6" s="453">
        <v>0</v>
      </c>
      <c r="AH6" s="453">
        <v>0</v>
      </c>
      <c r="AI6" s="453">
        <v>0</v>
      </c>
      <c r="AJ6" s="453">
        <v>0</v>
      </c>
      <c r="AK6" s="453">
        <v>0</v>
      </c>
      <c r="AL6" s="453">
        <v>0</v>
      </c>
      <c r="AM6" s="236">
        <v>0</v>
      </c>
      <c r="AN6" s="236">
        <v>0</v>
      </c>
      <c r="AO6" s="236">
        <v>0</v>
      </c>
      <c r="AP6" s="236">
        <v>0</v>
      </c>
      <c r="AQ6" s="236">
        <v>0</v>
      </c>
      <c r="AR6" s="236">
        <v>0</v>
      </c>
      <c r="AS6" s="236">
        <v>0</v>
      </c>
      <c r="AT6" s="236">
        <f t="shared" si="3"/>
        <v>0</v>
      </c>
      <c r="AU6" s="236"/>
      <c r="AV6" s="249">
        <v>0</v>
      </c>
      <c r="AW6" s="249">
        <v>0</v>
      </c>
      <c r="AX6" s="249">
        <f>AU6*1.19</f>
        <v>0</v>
      </c>
      <c r="AY6" s="249">
        <v>0</v>
      </c>
      <c r="AZ6" s="249">
        <v>0</v>
      </c>
      <c r="BA6" s="249">
        <v>0</v>
      </c>
      <c r="BB6" s="249">
        <v>0</v>
      </c>
      <c r="BC6" s="88"/>
      <c r="BD6" s="250"/>
      <c r="BE6" s="475"/>
      <c r="BF6" s="250"/>
      <c r="BG6" s="250"/>
      <c r="BH6" s="250"/>
      <c r="BI6" s="250"/>
      <c r="BJ6" s="250"/>
      <c r="BK6" s="323"/>
      <c r="BN6" s="318">
        <f t="shared" si="4"/>
        <v>0</v>
      </c>
      <c r="BO6" s="319" t="b">
        <f t="shared" si="5"/>
        <v>0</v>
      </c>
      <c r="BP6" s="319" t="b">
        <f t="shared" si="6"/>
        <v>0</v>
      </c>
      <c r="BQ6" s="319" t="b">
        <f t="shared" si="7"/>
        <v>0</v>
      </c>
      <c r="BR6" s="319" t="b">
        <f t="shared" si="8"/>
        <v>0</v>
      </c>
      <c r="BS6" s="319" t="b">
        <f t="shared" si="9"/>
        <v>0</v>
      </c>
      <c r="BT6" s="319" t="b">
        <f t="shared" si="10"/>
        <v>0</v>
      </c>
      <c r="BU6" s="319" t="b">
        <f t="shared" si="11"/>
        <v>0</v>
      </c>
      <c r="BV6" s="319" t="b">
        <f t="shared" si="12"/>
        <v>0</v>
      </c>
      <c r="BW6" s="320" t="b">
        <f t="shared" si="13"/>
        <v>0</v>
      </c>
      <c r="BX6" s="110" t="b">
        <f t="shared" si="14"/>
        <v>0</v>
      </c>
      <c r="BY6" s="110" t="b">
        <f t="shared" si="15"/>
        <v>0</v>
      </c>
      <c r="BZ6" s="110" t="b">
        <f t="shared" si="16"/>
        <v>0</v>
      </c>
      <c r="CA6" s="110" t="b">
        <f t="shared" si="17"/>
        <v>0</v>
      </c>
      <c r="CB6" s="110" t="b">
        <f t="shared" si="18"/>
        <v>0</v>
      </c>
      <c r="CC6" s="110" t="b">
        <f t="shared" si="19"/>
        <v>0</v>
      </c>
      <c r="CD6" s="318" t="b">
        <f t="shared" si="20"/>
        <v>0</v>
      </c>
      <c r="CE6" s="319" t="b">
        <f t="shared" si="21"/>
        <v>0</v>
      </c>
      <c r="CF6" s="319" t="b">
        <f t="shared" si="22"/>
        <v>0</v>
      </c>
      <c r="CG6" s="319" t="b">
        <f t="shared" si="23"/>
        <v>0</v>
      </c>
      <c r="CH6" s="319" t="b">
        <f t="shared" si="24"/>
        <v>0</v>
      </c>
      <c r="CI6" s="320" t="b">
        <f t="shared" si="25"/>
        <v>0</v>
      </c>
    </row>
    <row r="7" spans="1:89" s="308" customFormat="1" ht="8.4">
      <c r="A7" s="471">
        <v>2</v>
      </c>
      <c r="B7" s="469">
        <f>SUM($C7:C$7)</f>
        <v>0</v>
      </c>
      <c r="C7" s="472" t="b">
        <f t="shared" si="1"/>
        <v>0</v>
      </c>
      <c r="D7" s="470"/>
      <c r="E7" s="469"/>
      <c r="F7" s="469"/>
      <c r="G7" s="469"/>
      <c r="H7" s="88"/>
      <c r="I7" s="88"/>
      <c r="J7" s="88"/>
      <c r="K7" s="88"/>
      <c r="L7" s="88"/>
      <c r="M7" s="88">
        <v>290</v>
      </c>
      <c r="N7" s="88"/>
      <c r="O7" s="304"/>
      <c r="P7" s="88"/>
      <c r="Q7" s="250"/>
      <c r="R7" s="250"/>
      <c r="S7" s="250" t="e">
        <f>(R7+#REF!)/2</f>
        <v>#REF!</v>
      </c>
      <c r="T7" s="88"/>
      <c r="U7" s="282">
        <f t="shared" si="2"/>
        <v>0</v>
      </c>
      <c r="V7" s="298">
        <v>0</v>
      </c>
      <c r="W7" s="236">
        <v>0</v>
      </c>
      <c r="X7" s="249">
        <v>0</v>
      </c>
      <c r="Y7" s="249">
        <v>0</v>
      </c>
      <c r="Z7" s="249">
        <v>0</v>
      </c>
      <c r="AA7" s="249">
        <v>0</v>
      </c>
      <c r="AB7" s="249">
        <v>0</v>
      </c>
      <c r="AC7" s="249">
        <v>0</v>
      </c>
      <c r="AD7" s="249">
        <v>0</v>
      </c>
      <c r="AE7" s="249">
        <v>0</v>
      </c>
      <c r="AF7" s="453">
        <v>0</v>
      </c>
      <c r="AG7" s="453">
        <v>0</v>
      </c>
      <c r="AH7" s="453">
        <v>0</v>
      </c>
      <c r="AI7" s="453">
        <v>0</v>
      </c>
      <c r="AJ7" s="453">
        <v>0</v>
      </c>
      <c r="AK7" s="453">
        <v>0</v>
      </c>
      <c r="AL7" s="453">
        <v>0</v>
      </c>
      <c r="AM7" s="236">
        <v>0</v>
      </c>
      <c r="AN7" s="236">
        <v>0</v>
      </c>
      <c r="AO7" s="236">
        <v>0</v>
      </c>
      <c r="AP7" s="236">
        <v>0</v>
      </c>
      <c r="AQ7" s="236">
        <v>0</v>
      </c>
      <c r="AR7" s="236">
        <v>0</v>
      </c>
      <c r="AS7" s="236">
        <v>0</v>
      </c>
      <c r="AT7" s="236">
        <f t="shared" si="3"/>
        <v>0</v>
      </c>
      <c r="AU7" s="236"/>
      <c r="AV7" s="454" t="e">
        <f t="shared" ref="AV7:AV12" si="26">AM7+IF(S7&gt;=50,AF7,Y7)</f>
        <v>#REF!</v>
      </c>
      <c r="AW7" s="454" t="e">
        <f t="shared" ref="AW7:AW12" si="27">AN7+IF(S7&gt;=50,AG7,Z7)</f>
        <v>#REF!</v>
      </c>
      <c r="AX7" s="454" t="e">
        <f t="shared" ref="AX7:AX12" si="28">AO7+IF(S7&gt;=50,AH7,AA7)</f>
        <v>#REF!</v>
      </c>
      <c r="AY7" s="454" t="e">
        <f t="shared" ref="AY7:AY12" si="29">AP7+IF(S7&gt;=50,AI7,AB7)</f>
        <v>#REF!</v>
      </c>
      <c r="AZ7" s="454" t="e">
        <f t="shared" ref="AZ7:AZ12" si="30">AQ7+IF(S7&gt;=50,AJ7,AC7)</f>
        <v>#REF!</v>
      </c>
      <c r="BA7" s="454" t="e">
        <f t="shared" ref="BA7:BA12" si="31">AR7+IF(S7&gt;=50,AK7,AD7)</f>
        <v>#REF!</v>
      </c>
      <c r="BB7" s="454" t="e">
        <f t="shared" ref="BB7:BB12" si="32">AS7+IF(S7&gt;=50,AL7,AE7)</f>
        <v>#REF!</v>
      </c>
      <c r="BC7" s="88"/>
      <c r="BD7" s="250"/>
      <c r="BE7" s="475"/>
      <c r="BF7" s="250"/>
      <c r="BG7" s="250"/>
      <c r="BH7" s="250"/>
      <c r="BI7" s="250"/>
      <c r="BJ7" s="250"/>
      <c r="BK7" s="323"/>
      <c r="BN7" s="318">
        <f t="shared" si="4"/>
        <v>0</v>
      </c>
      <c r="BO7" s="319" t="b">
        <f t="shared" si="5"/>
        <v>0</v>
      </c>
      <c r="BP7" s="319" t="b">
        <f t="shared" si="6"/>
        <v>0</v>
      </c>
      <c r="BQ7" s="319" t="b">
        <f t="shared" si="7"/>
        <v>0</v>
      </c>
      <c r="BR7" s="319" t="b">
        <f t="shared" si="8"/>
        <v>0</v>
      </c>
      <c r="BS7" s="319" t="b">
        <f t="shared" si="9"/>
        <v>0</v>
      </c>
      <c r="BT7" s="319" t="b">
        <f t="shared" si="10"/>
        <v>0</v>
      </c>
      <c r="BU7" s="319" t="b">
        <f t="shared" si="11"/>
        <v>0</v>
      </c>
      <c r="BV7" s="319" t="b">
        <f t="shared" si="12"/>
        <v>0</v>
      </c>
      <c r="BW7" s="320" t="b">
        <f t="shared" si="13"/>
        <v>0</v>
      </c>
      <c r="BX7" s="110" t="b">
        <f t="shared" si="14"/>
        <v>0</v>
      </c>
      <c r="BY7" s="110" t="b">
        <f t="shared" si="15"/>
        <v>0</v>
      </c>
      <c r="BZ7" s="110" t="b">
        <f t="shared" si="16"/>
        <v>0</v>
      </c>
      <c r="CA7" s="110" t="b">
        <f t="shared" si="17"/>
        <v>0</v>
      </c>
      <c r="CB7" s="110" t="b">
        <f t="shared" si="18"/>
        <v>0</v>
      </c>
      <c r="CC7" s="110" t="b">
        <f t="shared" si="19"/>
        <v>0</v>
      </c>
      <c r="CD7" s="318" t="b">
        <f t="shared" si="20"/>
        <v>0</v>
      </c>
      <c r="CE7" s="319" t="b">
        <f t="shared" si="21"/>
        <v>0</v>
      </c>
      <c r="CF7" s="319" t="b">
        <f t="shared" si="22"/>
        <v>0</v>
      </c>
      <c r="CG7" s="319" t="b">
        <f t="shared" si="23"/>
        <v>0</v>
      </c>
      <c r="CH7" s="319" t="b">
        <f t="shared" si="24"/>
        <v>0</v>
      </c>
      <c r="CI7" s="320" t="b">
        <f t="shared" si="25"/>
        <v>0</v>
      </c>
    </row>
    <row r="8" spans="1:89" s="308" customFormat="1" ht="8.4">
      <c r="A8" s="322">
        <v>3</v>
      </c>
      <c r="B8" s="469">
        <f>SUM($C$8:C8)</f>
        <v>0</v>
      </c>
      <c r="C8" s="472" t="b">
        <f t="shared" si="1"/>
        <v>0</v>
      </c>
      <c r="D8" s="307"/>
      <c r="E8" s="469"/>
      <c r="F8" s="469"/>
      <c r="G8" s="469"/>
      <c r="H8" s="88"/>
      <c r="I8" s="88"/>
      <c r="J8" s="88"/>
      <c r="K8" s="88"/>
      <c r="L8" s="88"/>
      <c r="M8" s="88">
        <v>290</v>
      </c>
      <c r="N8" s="88"/>
      <c r="O8" s="304"/>
      <c r="P8" s="88"/>
      <c r="Q8" s="250"/>
      <c r="R8" s="250"/>
      <c r="S8" s="250" t="e">
        <f>(R8+#REF!)/2</f>
        <v>#REF!</v>
      </c>
      <c r="T8" s="88"/>
      <c r="U8" s="282">
        <f>IF(V8&gt;0,(W8+X8+V8)/2,W8+X8)</f>
        <v>0</v>
      </c>
      <c r="V8" s="298">
        <v>0</v>
      </c>
      <c r="W8" s="236">
        <v>0</v>
      </c>
      <c r="X8" s="249">
        <v>0</v>
      </c>
      <c r="Y8" s="236">
        <v>0</v>
      </c>
      <c r="Z8" s="236">
        <v>0</v>
      </c>
      <c r="AA8" s="236">
        <v>0</v>
      </c>
      <c r="AB8" s="236">
        <v>0</v>
      </c>
      <c r="AC8" s="236">
        <v>0</v>
      </c>
      <c r="AD8" s="236">
        <v>0</v>
      </c>
      <c r="AE8" s="236">
        <v>0</v>
      </c>
      <c r="AF8" s="453">
        <v>0</v>
      </c>
      <c r="AG8" s="453">
        <v>0</v>
      </c>
      <c r="AH8" s="453">
        <v>0</v>
      </c>
      <c r="AI8" s="453">
        <v>0</v>
      </c>
      <c r="AJ8" s="453">
        <v>0</v>
      </c>
      <c r="AK8" s="453">
        <v>0</v>
      </c>
      <c r="AL8" s="453">
        <v>0</v>
      </c>
      <c r="AM8" s="236">
        <v>0</v>
      </c>
      <c r="AN8" s="236">
        <v>0</v>
      </c>
      <c r="AO8" s="236">
        <v>0</v>
      </c>
      <c r="AP8" s="236">
        <v>0</v>
      </c>
      <c r="AQ8" s="236">
        <v>0</v>
      </c>
      <c r="AR8" s="236">
        <v>0</v>
      </c>
      <c r="AS8" s="236">
        <v>0</v>
      </c>
      <c r="AT8" s="236">
        <f t="shared" si="3"/>
        <v>0</v>
      </c>
      <c r="AU8" s="236"/>
      <c r="AV8" s="454" t="e">
        <f t="shared" si="26"/>
        <v>#REF!</v>
      </c>
      <c r="AW8" s="454" t="e">
        <f t="shared" si="27"/>
        <v>#REF!</v>
      </c>
      <c r="AX8" s="454" t="e">
        <f t="shared" si="28"/>
        <v>#REF!</v>
      </c>
      <c r="AY8" s="454" t="e">
        <f t="shared" si="29"/>
        <v>#REF!</v>
      </c>
      <c r="AZ8" s="454" t="e">
        <f t="shared" si="30"/>
        <v>#REF!</v>
      </c>
      <c r="BA8" s="454" t="e">
        <f t="shared" si="31"/>
        <v>#REF!</v>
      </c>
      <c r="BB8" s="454" t="e">
        <f t="shared" si="32"/>
        <v>#REF!</v>
      </c>
      <c r="BC8" s="88"/>
      <c r="BD8" s="250"/>
      <c r="BE8" s="475"/>
      <c r="BF8" s="250"/>
      <c r="BG8" s="250"/>
      <c r="BH8" s="250"/>
      <c r="BI8" s="250"/>
      <c r="BJ8" s="250"/>
      <c r="BK8" s="323"/>
      <c r="BN8" s="318">
        <f t="shared" si="4"/>
        <v>0</v>
      </c>
      <c r="BO8" s="319" t="b">
        <f t="shared" si="5"/>
        <v>0</v>
      </c>
      <c r="BP8" s="319" t="b">
        <f t="shared" si="6"/>
        <v>0</v>
      </c>
      <c r="BQ8" s="319" t="b">
        <f t="shared" si="7"/>
        <v>0</v>
      </c>
      <c r="BR8" s="319" t="b">
        <f t="shared" si="8"/>
        <v>0</v>
      </c>
      <c r="BS8" s="319" t="b">
        <f t="shared" si="9"/>
        <v>0</v>
      </c>
      <c r="BT8" s="319" t="b">
        <f t="shared" si="10"/>
        <v>0</v>
      </c>
      <c r="BU8" s="319" t="b">
        <f t="shared" si="11"/>
        <v>0</v>
      </c>
      <c r="BV8" s="319" t="b">
        <f t="shared" si="12"/>
        <v>0</v>
      </c>
      <c r="BW8" s="320" t="b">
        <f t="shared" si="13"/>
        <v>0</v>
      </c>
      <c r="BX8" s="110" t="b">
        <f t="shared" si="14"/>
        <v>0</v>
      </c>
      <c r="BY8" s="110" t="b">
        <f t="shared" si="15"/>
        <v>0</v>
      </c>
      <c r="BZ8" s="110" t="b">
        <f t="shared" si="16"/>
        <v>0</v>
      </c>
      <c r="CA8" s="110" t="b">
        <f t="shared" si="17"/>
        <v>0</v>
      </c>
      <c r="CB8" s="110" t="b">
        <f t="shared" si="18"/>
        <v>0</v>
      </c>
      <c r="CC8" s="110" t="b">
        <f t="shared" si="19"/>
        <v>0</v>
      </c>
      <c r="CD8" s="318" t="b">
        <f t="shared" si="20"/>
        <v>0</v>
      </c>
      <c r="CE8" s="319" t="b">
        <f t="shared" si="21"/>
        <v>0</v>
      </c>
      <c r="CF8" s="319" t="b">
        <f t="shared" si="22"/>
        <v>0</v>
      </c>
      <c r="CG8" s="319" t="b">
        <f t="shared" si="23"/>
        <v>0</v>
      </c>
      <c r="CH8" s="319" t="b">
        <f t="shared" si="24"/>
        <v>0</v>
      </c>
      <c r="CI8" s="320" t="b">
        <f t="shared" si="25"/>
        <v>0</v>
      </c>
    </row>
    <row r="9" spans="1:89" s="308" customFormat="1" ht="8.4">
      <c r="A9" s="322">
        <v>13</v>
      </c>
      <c r="B9" s="469">
        <f>SUM($C$8:C9)</f>
        <v>0</v>
      </c>
      <c r="C9" s="472" t="b">
        <f t="shared" si="1"/>
        <v>0</v>
      </c>
      <c r="D9" s="307"/>
      <c r="E9" s="469"/>
      <c r="F9" s="469"/>
      <c r="G9" s="469"/>
      <c r="H9" s="88"/>
      <c r="I9" s="88"/>
      <c r="J9" s="88"/>
      <c r="K9" s="88"/>
      <c r="L9" s="88"/>
      <c r="M9" s="88">
        <v>290</v>
      </c>
      <c r="N9" s="88"/>
      <c r="O9" s="304"/>
      <c r="P9" s="88"/>
      <c r="Q9" s="250"/>
      <c r="R9" s="250"/>
      <c r="S9" s="250" t="e">
        <f>(R9+#REF!)/2</f>
        <v>#REF!</v>
      </c>
      <c r="T9" s="88"/>
      <c r="U9" s="282">
        <f t="shared" ref="U9:U12" si="33">IF(V9&gt;0,(W9+X9+V9)/2,W9+X9)</f>
        <v>0</v>
      </c>
      <c r="V9" s="298">
        <v>0</v>
      </c>
      <c r="W9" s="236">
        <v>0</v>
      </c>
      <c r="X9" s="249">
        <v>0</v>
      </c>
      <c r="Y9" s="236">
        <v>0</v>
      </c>
      <c r="Z9" s="236">
        <v>0</v>
      </c>
      <c r="AA9" s="236">
        <v>0</v>
      </c>
      <c r="AB9" s="236">
        <v>0</v>
      </c>
      <c r="AC9" s="236">
        <v>0</v>
      </c>
      <c r="AD9" s="236">
        <v>0</v>
      </c>
      <c r="AE9" s="236">
        <v>0</v>
      </c>
      <c r="AF9" s="453">
        <v>0</v>
      </c>
      <c r="AG9" s="453">
        <v>0</v>
      </c>
      <c r="AH9" s="453">
        <v>0</v>
      </c>
      <c r="AI9" s="453">
        <v>0</v>
      </c>
      <c r="AJ9" s="453">
        <v>0</v>
      </c>
      <c r="AK9" s="453">
        <v>0</v>
      </c>
      <c r="AL9" s="453">
        <v>0</v>
      </c>
      <c r="AM9" s="236">
        <v>0</v>
      </c>
      <c r="AN9" s="236">
        <v>0</v>
      </c>
      <c r="AO9" s="236">
        <v>0</v>
      </c>
      <c r="AP9" s="236">
        <v>0</v>
      </c>
      <c r="AQ9" s="236">
        <v>0</v>
      </c>
      <c r="AR9" s="236">
        <v>0</v>
      </c>
      <c r="AS9" s="236">
        <v>0</v>
      </c>
      <c r="AT9" s="236">
        <f t="shared" si="3"/>
        <v>0</v>
      </c>
      <c r="AU9" s="236"/>
      <c r="AV9" s="454" t="e">
        <f t="shared" si="26"/>
        <v>#REF!</v>
      </c>
      <c r="AW9" s="454" t="e">
        <f t="shared" si="27"/>
        <v>#REF!</v>
      </c>
      <c r="AX9" s="454" t="e">
        <f t="shared" si="28"/>
        <v>#REF!</v>
      </c>
      <c r="AY9" s="454" t="e">
        <f t="shared" si="29"/>
        <v>#REF!</v>
      </c>
      <c r="AZ9" s="454" t="e">
        <f t="shared" si="30"/>
        <v>#REF!</v>
      </c>
      <c r="BA9" s="454" t="e">
        <f t="shared" si="31"/>
        <v>#REF!</v>
      </c>
      <c r="BB9" s="454" t="e">
        <f t="shared" si="32"/>
        <v>#REF!</v>
      </c>
      <c r="BC9" s="88"/>
      <c r="BD9" s="250"/>
      <c r="BE9" s="475"/>
      <c r="BF9" s="250"/>
      <c r="BG9" s="250"/>
      <c r="BH9" s="250"/>
      <c r="BI9" s="250"/>
      <c r="BJ9" s="250"/>
      <c r="BK9" s="323"/>
      <c r="BN9" s="318">
        <f t="shared" si="4"/>
        <v>0</v>
      </c>
      <c r="BO9" s="319" t="b">
        <f t="shared" si="5"/>
        <v>0</v>
      </c>
      <c r="BP9" s="319" t="b">
        <f t="shared" si="6"/>
        <v>0</v>
      </c>
      <c r="BQ9" s="319" t="b">
        <f t="shared" si="7"/>
        <v>0</v>
      </c>
      <c r="BR9" s="319" t="b">
        <f t="shared" si="8"/>
        <v>0</v>
      </c>
      <c r="BS9" s="319" t="b">
        <f t="shared" si="9"/>
        <v>0</v>
      </c>
      <c r="BT9" s="319" t="b">
        <f t="shared" si="10"/>
        <v>0</v>
      </c>
      <c r="BU9" s="319" t="b">
        <f t="shared" si="11"/>
        <v>0</v>
      </c>
      <c r="BV9" s="319" t="b">
        <f t="shared" si="12"/>
        <v>0</v>
      </c>
      <c r="BW9" s="320" t="b">
        <f t="shared" si="13"/>
        <v>0</v>
      </c>
      <c r="BX9" s="110" t="b">
        <f t="shared" si="14"/>
        <v>0</v>
      </c>
      <c r="BY9" s="110" t="b">
        <f t="shared" si="15"/>
        <v>0</v>
      </c>
      <c r="BZ9" s="110" t="b">
        <f t="shared" si="16"/>
        <v>0</v>
      </c>
      <c r="CA9" s="110" t="b">
        <f t="shared" si="17"/>
        <v>0</v>
      </c>
      <c r="CB9" s="110" t="b">
        <f t="shared" si="18"/>
        <v>0</v>
      </c>
      <c r="CC9" s="110" t="b">
        <f t="shared" si="19"/>
        <v>0</v>
      </c>
      <c r="CD9" s="318" t="b">
        <f t="shared" si="20"/>
        <v>0</v>
      </c>
      <c r="CE9" s="319" t="b">
        <f t="shared" si="21"/>
        <v>0</v>
      </c>
      <c r="CF9" s="319" t="b">
        <f t="shared" si="22"/>
        <v>0</v>
      </c>
      <c r="CG9" s="319" t="b">
        <f t="shared" si="23"/>
        <v>0</v>
      </c>
      <c r="CH9" s="319" t="b">
        <f t="shared" si="24"/>
        <v>0</v>
      </c>
      <c r="CI9" s="320" t="b">
        <f t="shared" si="25"/>
        <v>0</v>
      </c>
    </row>
    <row r="10" spans="1:89" s="308" customFormat="1" ht="8.4">
      <c r="A10" s="1168">
        <v>14</v>
      </c>
      <c r="B10" s="469"/>
      <c r="C10" s="472" t="b">
        <f t="shared" si="1"/>
        <v>0</v>
      </c>
      <c r="D10" s="1170"/>
      <c r="E10" s="1170"/>
      <c r="F10" s="469"/>
      <c r="G10" s="469"/>
      <c r="H10" s="88"/>
      <c r="I10" s="88"/>
      <c r="J10" s="88"/>
      <c r="K10" s="88"/>
      <c r="L10" s="88"/>
      <c r="M10" s="88">
        <v>290</v>
      </c>
      <c r="N10" s="88"/>
      <c r="O10" s="304"/>
      <c r="P10" s="88"/>
      <c r="Q10" s="250"/>
      <c r="R10" s="250"/>
      <c r="S10" s="250" t="e">
        <f>(R10+#REF!)/2</f>
        <v>#REF!</v>
      </c>
      <c r="T10" s="88"/>
      <c r="U10" s="282">
        <f t="shared" si="33"/>
        <v>0</v>
      </c>
      <c r="V10" s="298">
        <v>0</v>
      </c>
      <c r="W10" s="236">
        <v>0</v>
      </c>
      <c r="X10" s="249">
        <v>0</v>
      </c>
      <c r="Y10" s="236">
        <v>0</v>
      </c>
      <c r="Z10" s="236">
        <v>0</v>
      </c>
      <c r="AA10" s="236">
        <v>0</v>
      </c>
      <c r="AB10" s="236">
        <v>0</v>
      </c>
      <c r="AC10" s="236">
        <v>0</v>
      </c>
      <c r="AD10" s="236">
        <v>0</v>
      </c>
      <c r="AE10" s="236">
        <v>0</v>
      </c>
      <c r="AF10" s="453">
        <v>0</v>
      </c>
      <c r="AG10" s="453">
        <v>0</v>
      </c>
      <c r="AH10" s="453">
        <v>0</v>
      </c>
      <c r="AI10" s="453">
        <v>0</v>
      </c>
      <c r="AJ10" s="453">
        <v>0</v>
      </c>
      <c r="AK10" s="453">
        <v>0</v>
      </c>
      <c r="AL10" s="453">
        <v>0</v>
      </c>
      <c r="AM10" s="236">
        <v>0</v>
      </c>
      <c r="AN10" s="236">
        <v>0</v>
      </c>
      <c r="AO10" s="236">
        <v>0</v>
      </c>
      <c r="AP10" s="236">
        <v>0</v>
      </c>
      <c r="AQ10" s="236">
        <v>0</v>
      </c>
      <c r="AR10" s="236">
        <v>0</v>
      </c>
      <c r="AS10" s="236">
        <v>0</v>
      </c>
      <c r="AT10" s="236">
        <f t="shared" si="3"/>
        <v>0</v>
      </c>
      <c r="AU10" s="236"/>
      <c r="AV10" s="454" t="e">
        <f t="shared" si="26"/>
        <v>#REF!</v>
      </c>
      <c r="AW10" s="454" t="e">
        <f t="shared" si="27"/>
        <v>#REF!</v>
      </c>
      <c r="AX10" s="454" t="e">
        <f t="shared" si="28"/>
        <v>#REF!</v>
      </c>
      <c r="AY10" s="454" t="e">
        <f t="shared" si="29"/>
        <v>#REF!</v>
      </c>
      <c r="AZ10" s="454" t="e">
        <f t="shared" si="30"/>
        <v>#REF!</v>
      </c>
      <c r="BA10" s="454" t="e">
        <f t="shared" si="31"/>
        <v>#REF!</v>
      </c>
      <c r="BB10" s="454" t="e">
        <f t="shared" si="32"/>
        <v>#REF!</v>
      </c>
      <c r="BC10" s="88"/>
      <c r="BD10" s="250"/>
      <c r="BE10" s="475"/>
      <c r="BF10" s="250"/>
      <c r="BG10" s="250"/>
      <c r="BH10" s="250"/>
      <c r="BI10" s="250"/>
      <c r="BJ10" s="250"/>
      <c r="BK10" s="323"/>
      <c r="BN10" s="318">
        <f t="shared" si="4"/>
        <v>0</v>
      </c>
      <c r="BO10" s="319" t="b">
        <f t="shared" si="5"/>
        <v>0</v>
      </c>
      <c r="BP10" s="319" t="b">
        <f t="shared" si="6"/>
        <v>0</v>
      </c>
      <c r="BQ10" s="319" t="b">
        <f t="shared" si="7"/>
        <v>0</v>
      </c>
      <c r="BR10" s="319" t="b">
        <f t="shared" si="8"/>
        <v>0</v>
      </c>
      <c r="BS10" s="319" t="b">
        <f t="shared" si="9"/>
        <v>0</v>
      </c>
      <c r="BT10" s="319" t="b">
        <f t="shared" si="10"/>
        <v>0</v>
      </c>
      <c r="BU10" s="319" t="b">
        <f t="shared" si="11"/>
        <v>0</v>
      </c>
      <c r="BV10" s="319" t="b">
        <f t="shared" si="12"/>
        <v>0</v>
      </c>
      <c r="BW10" s="320" t="b">
        <f t="shared" si="13"/>
        <v>0</v>
      </c>
      <c r="BX10" s="110" t="b">
        <f t="shared" si="14"/>
        <v>0</v>
      </c>
      <c r="BY10" s="110" t="b">
        <f t="shared" si="15"/>
        <v>0</v>
      </c>
      <c r="BZ10" s="110" t="b">
        <f t="shared" si="16"/>
        <v>0</v>
      </c>
      <c r="CA10" s="110" t="b">
        <f t="shared" si="17"/>
        <v>0</v>
      </c>
      <c r="CB10" s="110" t="b">
        <f t="shared" si="18"/>
        <v>0</v>
      </c>
      <c r="CC10" s="110" t="b">
        <f t="shared" si="19"/>
        <v>0</v>
      </c>
      <c r="CD10" s="318" t="b">
        <f t="shared" si="20"/>
        <v>0</v>
      </c>
      <c r="CE10" s="319" t="b">
        <f t="shared" si="21"/>
        <v>0</v>
      </c>
      <c r="CF10" s="319" t="b">
        <f t="shared" si="22"/>
        <v>0</v>
      </c>
      <c r="CG10" s="319" t="b">
        <f t="shared" si="23"/>
        <v>0</v>
      </c>
      <c r="CH10" s="319" t="b">
        <f t="shared" si="24"/>
        <v>0</v>
      </c>
      <c r="CI10" s="320" t="b">
        <f t="shared" si="25"/>
        <v>0</v>
      </c>
    </row>
    <row r="11" spans="1:89" s="308" customFormat="1" ht="8.4">
      <c r="A11" s="1169"/>
      <c r="B11" s="469">
        <f>SUM($C$8:C11)</f>
        <v>0</v>
      </c>
      <c r="C11" s="472" t="b">
        <f t="shared" si="1"/>
        <v>0</v>
      </c>
      <c r="D11" s="1171"/>
      <c r="E11" s="1171"/>
      <c r="F11" s="469"/>
      <c r="G11" s="469"/>
      <c r="H11" s="88"/>
      <c r="I11" s="88"/>
      <c r="J11" s="88"/>
      <c r="K11" s="88"/>
      <c r="L11" s="88"/>
      <c r="M11" s="88">
        <v>290</v>
      </c>
      <c r="N11" s="88"/>
      <c r="O11" s="304"/>
      <c r="P11" s="88"/>
      <c r="Q11" s="250"/>
      <c r="R11" s="250"/>
      <c r="S11" s="250" t="e">
        <f>(R11+#REF!)/2</f>
        <v>#REF!</v>
      </c>
      <c r="T11" s="88"/>
      <c r="U11" s="282">
        <f t="shared" si="33"/>
        <v>0</v>
      </c>
      <c r="V11" s="298">
        <v>0</v>
      </c>
      <c r="W11" s="236">
        <v>0</v>
      </c>
      <c r="X11" s="249">
        <v>0</v>
      </c>
      <c r="Y11" s="236">
        <v>0</v>
      </c>
      <c r="Z11" s="236">
        <v>0</v>
      </c>
      <c r="AA11" s="236">
        <v>0</v>
      </c>
      <c r="AB11" s="236">
        <v>0</v>
      </c>
      <c r="AC11" s="236">
        <v>0</v>
      </c>
      <c r="AD11" s="236">
        <v>0</v>
      </c>
      <c r="AE11" s="236">
        <v>0</v>
      </c>
      <c r="AF11" s="453">
        <v>0</v>
      </c>
      <c r="AG11" s="453">
        <v>0</v>
      </c>
      <c r="AH11" s="453">
        <v>0</v>
      </c>
      <c r="AI11" s="453">
        <v>0</v>
      </c>
      <c r="AJ11" s="453">
        <v>0</v>
      </c>
      <c r="AK11" s="453">
        <v>0</v>
      </c>
      <c r="AL11" s="453">
        <v>0</v>
      </c>
      <c r="AM11" s="236">
        <v>0</v>
      </c>
      <c r="AN11" s="236">
        <v>0</v>
      </c>
      <c r="AO11" s="236">
        <v>0</v>
      </c>
      <c r="AP11" s="236">
        <v>0</v>
      </c>
      <c r="AQ11" s="236">
        <v>0</v>
      </c>
      <c r="AR11" s="236">
        <v>0</v>
      </c>
      <c r="AS11" s="236">
        <v>0</v>
      </c>
      <c r="AT11" s="236">
        <f t="shared" si="3"/>
        <v>0</v>
      </c>
      <c r="AU11" s="236"/>
      <c r="AV11" s="454" t="e">
        <f t="shared" si="26"/>
        <v>#REF!</v>
      </c>
      <c r="AW11" s="454" t="e">
        <f t="shared" si="27"/>
        <v>#REF!</v>
      </c>
      <c r="AX11" s="454" t="e">
        <f t="shared" si="28"/>
        <v>#REF!</v>
      </c>
      <c r="AY11" s="454" t="e">
        <f t="shared" si="29"/>
        <v>#REF!</v>
      </c>
      <c r="AZ11" s="454" t="e">
        <f t="shared" si="30"/>
        <v>#REF!</v>
      </c>
      <c r="BA11" s="454" t="e">
        <f t="shared" si="31"/>
        <v>#REF!</v>
      </c>
      <c r="BB11" s="454" t="e">
        <f t="shared" si="32"/>
        <v>#REF!</v>
      </c>
      <c r="BC11" s="88"/>
      <c r="BD11" s="250"/>
      <c r="BE11" s="475"/>
      <c r="BF11" s="250"/>
      <c r="BG11" s="250"/>
      <c r="BH11" s="250"/>
      <c r="BI11" s="250"/>
      <c r="BJ11" s="250"/>
      <c r="BK11" s="323"/>
      <c r="BN11" s="318">
        <f t="shared" si="4"/>
        <v>0</v>
      </c>
      <c r="BO11" s="319" t="b">
        <f t="shared" si="5"/>
        <v>0</v>
      </c>
      <c r="BP11" s="319" t="b">
        <f t="shared" si="6"/>
        <v>0</v>
      </c>
      <c r="BQ11" s="319" t="b">
        <f t="shared" si="7"/>
        <v>0</v>
      </c>
      <c r="BR11" s="319" t="b">
        <f t="shared" si="8"/>
        <v>0</v>
      </c>
      <c r="BS11" s="319" t="b">
        <f t="shared" si="9"/>
        <v>0</v>
      </c>
      <c r="BT11" s="319" t="b">
        <f t="shared" si="10"/>
        <v>0</v>
      </c>
      <c r="BU11" s="319" t="b">
        <f t="shared" si="11"/>
        <v>0</v>
      </c>
      <c r="BV11" s="319" t="b">
        <f t="shared" si="12"/>
        <v>0</v>
      </c>
      <c r="BW11" s="320" t="b">
        <f t="shared" si="13"/>
        <v>0</v>
      </c>
      <c r="BX11" s="110" t="b">
        <f t="shared" si="14"/>
        <v>0</v>
      </c>
      <c r="BY11" s="110" t="b">
        <f t="shared" si="15"/>
        <v>0</v>
      </c>
      <c r="BZ11" s="110" t="b">
        <f t="shared" si="16"/>
        <v>0</v>
      </c>
      <c r="CA11" s="110" t="b">
        <f t="shared" si="17"/>
        <v>0</v>
      </c>
      <c r="CB11" s="110" t="b">
        <f t="shared" si="18"/>
        <v>0</v>
      </c>
      <c r="CC11" s="110" t="b">
        <f t="shared" si="19"/>
        <v>0</v>
      </c>
      <c r="CD11" s="318" t="b">
        <f t="shared" si="20"/>
        <v>0</v>
      </c>
      <c r="CE11" s="319" t="b">
        <f t="shared" si="21"/>
        <v>0</v>
      </c>
      <c r="CF11" s="319" t="b">
        <f t="shared" si="22"/>
        <v>0</v>
      </c>
      <c r="CG11" s="319" t="b">
        <f t="shared" si="23"/>
        <v>0</v>
      </c>
      <c r="CH11" s="319" t="b">
        <f t="shared" si="24"/>
        <v>0</v>
      </c>
      <c r="CI11" s="320" t="b">
        <f t="shared" si="25"/>
        <v>0</v>
      </c>
    </row>
    <row r="12" spans="1:89" s="308" customFormat="1" ht="8.4">
      <c r="A12" s="322">
        <v>16</v>
      </c>
      <c r="B12" s="469"/>
      <c r="C12" s="472" t="b">
        <f t="shared" si="1"/>
        <v>0</v>
      </c>
      <c r="D12" s="307"/>
      <c r="E12" s="469"/>
      <c r="F12" s="469"/>
      <c r="G12" s="469"/>
      <c r="H12" s="88"/>
      <c r="I12" s="88"/>
      <c r="J12" s="88"/>
      <c r="K12" s="88"/>
      <c r="L12" s="88"/>
      <c r="M12" s="88">
        <v>290</v>
      </c>
      <c r="N12" s="88"/>
      <c r="O12" s="304"/>
      <c r="P12" s="88"/>
      <c r="Q12" s="250"/>
      <c r="R12" s="250"/>
      <c r="S12" s="250" t="e">
        <f>(R12+#REF!)/2</f>
        <v>#REF!</v>
      </c>
      <c r="T12" s="88"/>
      <c r="U12" s="282">
        <f t="shared" si="33"/>
        <v>0</v>
      </c>
      <c r="V12" s="298">
        <v>0</v>
      </c>
      <c r="W12" s="236">
        <v>0</v>
      </c>
      <c r="X12" s="249">
        <v>0</v>
      </c>
      <c r="Y12" s="236">
        <v>0</v>
      </c>
      <c r="Z12" s="236">
        <v>0</v>
      </c>
      <c r="AA12" s="236">
        <v>0</v>
      </c>
      <c r="AB12" s="236">
        <v>0</v>
      </c>
      <c r="AC12" s="236">
        <v>0</v>
      </c>
      <c r="AD12" s="236">
        <v>0</v>
      </c>
      <c r="AE12" s="236">
        <v>0</v>
      </c>
      <c r="AF12" s="453">
        <v>0</v>
      </c>
      <c r="AG12" s="453">
        <v>0</v>
      </c>
      <c r="AH12" s="453">
        <v>0</v>
      </c>
      <c r="AI12" s="453">
        <v>0</v>
      </c>
      <c r="AJ12" s="453">
        <v>0</v>
      </c>
      <c r="AK12" s="453">
        <v>0</v>
      </c>
      <c r="AL12" s="453">
        <v>0</v>
      </c>
      <c r="AM12" s="236">
        <v>0</v>
      </c>
      <c r="AN12" s="236">
        <v>0</v>
      </c>
      <c r="AO12" s="236">
        <v>0</v>
      </c>
      <c r="AP12" s="236">
        <v>0</v>
      </c>
      <c r="AQ12" s="236">
        <v>0</v>
      </c>
      <c r="AR12" s="236">
        <v>0</v>
      </c>
      <c r="AS12" s="236">
        <v>0</v>
      </c>
      <c r="AT12" s="236">
        <f t="shared" si="3"/>
        <v>0</v>
      </c>
      <c r="AU12" s="236"/>
      <c r="AV12" s="454" t="e">
        <f t="shared" si="26"/>
        <v>#REF!</v>
      </c>
      <c r="AW12" s="454" t="e">
        <f t="shared" si="27"/>
        <v>#REF!</v>
      </c>
      <c r="AX12" s="454" t="e">
        <f t="shared" si="28"/>
        <v>#REF!</v>
      </c>
      <c r="AY12" s="454" t="e">
        <f t="shared" si="29"/>
        <v>#REF!</v>
      </c>
      <c r="AZ12" s="454" t="e">
        <f t="shared" si="30"/>
        <v>#REF!</v>
      </c>
      <c r="BA12" s="454" t="e">
        <f t="shared" si="31"/>
        <v>#REF!</v>
      </c>
      <c r="BB12" s="454" t="e">
        <f t="shared" si="32"/>
        <v>#REF!</v>
      </c>
      <c r="BC12" s="88"/>
      <c r="BD12" s="250"/>
      <c r="BE12" s="475"/>
      <c r="BF12" s="250"/>
      <c r="BG12" s="250"/>
      <c r="BH12" s="250"/>
      <c r="BI12" s="250"/>
      <c r="BJ12" s="250"/>
      <c r="BK12" s="323"/>
      <c r="BN12" s="318">
        <f t="shared" si="4"/>
        <v>0</v>
      </c>
      <c r="BO12" s="319" t="b">
        <f t="shared" si="5"/>
        <v>0</v>
      </c>
      <c r="BP12" s="319" t="b">
        <f t="shared" si="6"/>
        <v>0</v>
      </c>
      <c r="BQ12" s="319" t="b">
        <f t="shared" si="7"/>
        <v>0</v>
      </c>
      <c r="BR12" s="319" t="b">
        <f t="shared" si="8"/>
        <v>0</v>
      </c>
      <c r="BS12" s="319" t="b">
        <f t="shared" si="9"/>
        <v>0</v>
      </c>
      <c r="BT12" s="319" t="b">
        <f t="shared" si="10"/>
        <v>0</v>
      </c>
      <c r="BU12" s="319" t="b">
        <f t="shared" si="11"/>
        <v>0</v>
      </c>
      <c r="BV12" s="319" t="b">
        <f t="shared" si="12"/>
        <v>0</v>
      </c>
      <c r="BW12" s="320" t="b">
        <f t="shared" si="13"/>
        <v>0</v>
      </c>
      <c r="BX12" s="110" t="b">
        <f t="shared" si="14"/>
        <v>0</v>
      </c>
      <c r="BY12" s="110" t="b">
        <f t="shared" si="15"/>
        <v>0</v>
      </c>
      <c r="BZ12" s="110" t="b">
        <f t="shared" si="16"/>
        <v>0</v>
      </c>
      <c r="CA12" s="110" t="b">
        <f t="shared" si="17"/>
        <v>0</v>
      </c>
      <c r="CB12" s="110" t="b">
        <f t="shared" si="18"/>
        <v>0</v>
      </c>
      <c r="CC12" s="110" t="b">
        <f t="shared" si="19"/>
        <v>0</v>
      </c>
      <c r="CD12" s="318" t="b">
        <f t="shared" si="20"/>
        <v>0</v>
      </c>
      <c r="CE12" s="319" t="b">
        <f t="shared" si="21"/>
        <v>0</v>
      </c>
      <c r="CF12" s="319" t="b">
        <f t="shared" si="22"/>
        <v>0</v>
      </c>
      <c r="CG12" s="319" t="b">
        <f t="shared" si="23"/>
        <v>0</v>
      </c>
      <c r="CH12" s="319" t="b">
        <f t="shared" si="24"/>
        <v>0</v>
      </c>
      <c r="CI12" s="320" t="b">
        <f t="shared" si="25"/>
        <v>0</v>
      </c>
    </row>
    <row r="13" spans="1:89" s="326" customFormat="1" ht="7.8">
      <c r="D13" s="324"/>
      <c r="E13" s="325"/>
      <c r="G13" s="326" t="e">
        <f t="shared" ref="G13" si="34">SUM(#REF!)</f>
        <v>#REF!</v>
      </c>
      <c r="H13" s="326" t="e">
        <f t="shared" ref="H13" si="35">SUM(#REF!)</f>
        <v>#REF!</v>
      </c>
      <c r="I13" s="326" t="e">
        <f t="shared" ref="I13" si="36">SUM(#REF!)</f>
        <v>#REF!</v>
      </c>
      <c r="J13" s="326" t="e">
        <f t="shared" ref="J13" si="37">SUM(#REF!)</f>
        <v>#REF!</v>
      </c>
      <c r="K13" s="326" t="e">
        <f t="shared" ref="K13" si="38">SUM(#REF!)</f>
        <v>#REF!</v>
      </c>
      <c r="L13" s="326" t="e">
        <f t="shared" ref="L13" si="39">SUM(#REF!)</f>
        <v>#REF!</v>
      </c>
      <c r="Q13" s="327"/>
      <c r="R13" s="327"/>
      <c r="S13" s="327"/>
      <c r="U13" s="328" t="e">
        <f t="shared" ref="U13:AE13" si="40">SUM(#REF!)</f>
        <v>#REF!</v>
      </c>
      <c r="V13" s="328" t="e">
        <f t="shared" si="40"/>
        <v>#REF!</v>
      </c>
      <c r="W13" s="328" t="e">
        <f t="shared" si="40"/>
        <v>#REF!</v>
      </c>
      <c r="X13" s="328" t="e">
        <f t="shared" si="40"/>
        <v>#REF!</v>
      </c>
      <c r="Y13" s="328" t="e">
        <f t="shared" si="40"/>
        <v>#REF!</v>
      </c>
      <c r="Z13" s="328" t="e">
        <f t="shared" si="40"/>
        <v>#REF!</v>
      </c>
      <c r="AA13" s="328" t="e">
        <f t="shared" si="40"/>
        <v>#REF!</v>
      </c>
      <c r="AB13" s="328" t="e">
        <f t="shared" si="40"/>
        <v>#REF!</v>
      </c>
      <c r="AC13" s="328" t="e">
        <f t="shared" si="40"/>
        <v>#REF!</v>
      </c>
      <c r="AD13" s="328" t="e">
        <f t="shared" si="40"/>
        <v>#REF!</v>
      </c>
      <c r="AE13" s="328" t="e">
        <f t="shared" si="40"/>
        <v>#REF!</v>
      </c>
      <c r="AF13" s="328"/>
      <c r="AG13" s="328"/>
      <c r="AH13" s="328"/>
      <c r="AI13" s="328"/>
      <c r="AJ13" s="328"/>
      <c r="AK13" s="328"/>
      <c r="AL13" s="328"/>
      <c r="AM13" s="328" t="e">
        <f t="shared" ref="AM13:AT13" si="41">SUM(#REF!)</f>
        <v>#REF!</v>
      </c>
      <c r="AN13" s="328" t="e">
        <f t="shared" si="41"/>
        <v>#REF!</v>
      </c>
      <c r="AO13" s="328" t="e">
        <f t="shared" si="41"/>
        <v>#REF!</v>
      </c>
      <c r="AP13" s="328" t="e">
        <f t="shared" si="41"/>
        <v>#REF!</v>
      </c>
      <c r="AQ13" s="328" t="e">
        <f t="shared" si="41"/>
        <v>#REF!</v>
      </c>
      <c r="AR13" s="328" t="e">
        <f t="shared" si="41"/>
        <v>#REF!</v>
      </c>
      <c r="AS13" s="328" t="e">
        <f t="shared" si="41"/>
        <v>#REF!</v>
      </c>
      <c r="AT13" s="328" t="e">
        <f t="shared" si="41"/>
        <v>#REF!</v>
      </c>
      <c r="AU13" s="328" t="e">
        <f>SUM(#REF!)</f>
        <v>#REF!</v>
      </c>
      <c r="AV13" s="328" t="e">
        <f t="shared" ref="AV13:BB13" si="42">SUM(#REF!)</f>
        <v>#REF!</v>
      </c>
      <c r="AW13" s="328" t="e">
        <f t="shared" si="42"/>
        <v>#REF!</v>
      </c>
      <c r="AX13" s="328" t="e">
        <f t="shared" si="42"/>
        <v>#REF!</v>
      </c>
      <c r="AY13" s="328" t="e">
        <f t="shared" si="42"/>
        <v>#REF!</v>
      </c>
      <c r="AZ13" s="328" t="e">
        <f t="shared" si="42"/>
        <v>#REF!</v>
      </c>
      <c r="BA13" s="328" t="e">
        <f t="shared" si="42"/>
        <v>#REF!</v>
      </c>
      <c r="BB13" s="328" t="e">
        <f t="shared" si="42"/>
        <v>#REF!</v>
      </c>
      <c r="BE13" s="326" t="e">
        <f>SUM(#REF!)</f>
        <v>#REF!</v>
      </c>
      <c r="BF13" s="327"/>
      <c r="BN13" s="104" t="e">
        <f t="shared" ref="BN13:CH13" si="43">SUM(#REF!)</f>
        <v>#REF!</v>
      </c>
      <c r="BO13" s="104" t="e">
        <f t="shared" si="43"/>
        <v>#REF!</v>
      </c>
      <c r="BP13" s="104" t="e">
        <f t="shared" si="43"/>
        <v>#REF!</v>
      </c>
      <c r="BQ13" s="104" t="e">
        <f t="shared" si="43"/>
        <v>#REF!</v>
      </c>
      <c r="BR13" s="104" t="e">
        <f t="shared" si="43"/>
        <v>#REF!</v>
      </c>
      <c r="BS13" s="104" t="e">
        <f t="shared" si="43"/>
        <v>#REF!</v>
      </c>
      <c r="BT13" s="104" t="e">
        <f t="shared" si="43"/>
        <v>#REF!</v>
      </c>
      <c r="BU13" s="104" t="e">
        <f t="shared" si="43"/>
        <v>#REF!</v>
      </c>
      <c r="BV13" s="104" t="e">
        <f t="shared" si="43"/>
        <v>#REF!</v>
      </c>
      <c r="BW13" s="104" t="e">
        <f t="shared" si="43"/>
        <v>#REF!</v>
      </c>
      <c r="BX13" s="104" t="e">
        <f t="shared" si="43"/>
        <v>#REF!</v>
      </c>
      <c r="BY13" s="104" t="e">
        <f t="shared" si="43"/>
        <v>#REF!</v>
      </c>
      <c r="BZ13" s="104" t="e">
        <f t="shared" si="43"/>
        <v>#REF!</v>
      </c>
      <c r="CA13" s="104" t="e">
        <f t="shared" si="43"/>
        <v>#REF!</v>
      </c>
      <c r="CB13" s="104" t="e">
        <f t="shared" si="43"/>
        <v>#REF!</v>
      </c>
      <c r="CC13" s="104" t="e">
        <f t="shared" si="43"/>
        <v>#REF!</v>
      </c>
      <c r="CD13" s="104" t="e">
        <f t="shared" si="43"/>
        <v>#REF!</v>
      </c>
      <c r="CE13" s="104" t="e">
        <f t="shared" si="43"/>
        <v>#REF!</v>
      </c>
      <c r="CF13" s="104" t="e">
        <f t="shared" si="43"/>
        <v>#REF!</v>
      </c>
      <c r="CG13" s="104" t="e">
        <f t="shared" si="43"/>
        <v>#REF!</v>
      </c>
      <c r="CH13" s="104" t="e">
        <f t="shared" si="43"/>
        <v>#REF!</v>
      </c>
      <c r="CI13" s="104"/>
    </row>
    <row r="14" spans="1:89" s="80" customFormat="1" ht="6.6">
      <c r="A14" s="1116" t="s">
        <v>308</v>
      </c>
      <c r="B14" s="1116"/>
      <c r="C14" s="1116"/>
      <c r="D14" s="1116"/>
      <c r="E14" s="1116"/>
      <c r="F14" s="1116"/>
      <c r="G14" s="1116"/>
      <c r="H14" s="1116"/>
      <c r="I14" s="1116"/>
      <c r="J14" s="1116"/>
      <c r="K14" s="1116"/>
      <c r="L14" s="1116"/>
      <c r="M14" s="1116"/>
      <c r="N14" s="1116"/>
      <c r="O14" s="1116"/>
      <c r="P14" s="1116"/>
      <c r="Q14" s="1116"/>
      <c r="R14" s="1116"/>
      <c r="S14" s="1116"/>
      <c r="T14" s="77">
        <f t="shared" ref="T14" si="44">SUM(T10:T13)</f>
        <v>0</v>
      </c>
      <c r="U14" s="77">
        <f t="shared" ref="U14:BB14" si="45">U5+U6</f>
        <v>0</v>
      </c>
      <c r="V14" s="77">
        <f t="shared" si="45"/>
        <v>0</v>
      </c>
      <c r="W14" s="77">
        <f t="shared" si="45"/>
        <v>0</v>
      </c>
      <c r="X14" s="77">
        <f t="shared" si="45"/>
        <v>0</v>
      </c>
      <c r="Y14" s="77">
        <f t="shared" si="45"/>
        <v>0</v>
      </c>
      <c r="Z14" s="77">
        <f t="shared" si="45"/>
        <v>0</v>
      </c>
      <c r="AA14" s="77">
        <f t="shared" si="45"/>
        <v>0</v>
      </c>
      <c r="AB14" s="77">
        <f t="shared" si="45"/>
        <v>0</v>
      </c>
      <c r="AC14" s="77">
        <f t="shared" si="45"/>
        <v>0</v>
      </c>
      <c r="AD14" s="77">
        <f t="shared" si="45"/>
        <v>0</v>
      </c>
      <c r="AE14" s="77">
        <f t="shared" si="45"/>
        <v>0</v>
      </c>
      <c r="AF14" s="77">
        <f t="shared" si="45"/>
        <v>0</v>
      </c>
      <c r="AG14" s="77">
        <f t="shared" si="45"/>
        <v>0</v>
      </c>
      <c r="AH14" s="77">
        <f t="shared" si="45"/>
        <v>0</v>
      </c>
      <c r="AI14" s="77">
        <f t="shared" si="45"/>
        <v>0</v>
      </c>
      <c r="AJ14" s="77">
        <f t="shared" si="45"/>
        <v>0</v>
      </c>
      <c r="AK14" s="77">
        <f t="shared" si="45"/>
        <v>0</v>
      </c>
      <c r="AL14" s="77">
        <f t="shared" si="45"/>
        <v>0</v>
      </c>
      <c r="AM14" s="77">
        <f t="shared" si="45"/>
        <v>0</v>
      </c>
      <c r="AN14" s="77">
        <f t="shared" si="45"/>
        <v>0</v>
      </c>
      <c r="AO14" s="77">
        <f t="shared" si="45"/>
        <v>0</v>
      </c>
      <c r="AP14" s="77">
        <f t="shared" si="45"/>
        <v>0</v>
      </c>
      <c r="AQ14" s="77">
        <f t="shared" si="45"/>
        <v>0</v>
      </c>
      <c r="AR14" s="77">
        <f t="shared" si="45"/>
        <v>0</v>
      </c>
      <c r="AS14" s="77">
        <f t="shared" si="45"/>
        <v>0</v>
      </c>
      <c r="AT14" s="77">
        <f t="shared" si="45"/>
        <v>0</v>
      </c>
      <c r="AU14" s="77">
        <f t="shared" si="45"/>
        <v>0</v>
      </c>
      <c r="AV14" s="77">
        <f t="shared" si="45"/>
        <v>0</v>
      </c>
      <c r="AW14" s="77">
        <f t="shared" si="45"/>
        <v>0</v>
      </c>
      <c r="AX14" s="77">
        <f t="shared" si="45"/>
        <v>0</v>
      </c>
      <c r="AY14" s="77">
        <f t="shared" si="45"/>
        <v>0</v>
      </c>
      <c r="AZ14" s="77">
        <f t="shared" si="45"/>
        <v>0</v>
      </c>
      <c r="BA14" s="77">
        <f t="shared" si="45"/>
        <v>0</v>
      </c>
      <c r="BB14" s="77">
        <f t="shared" si="45"/>
        <v>0</v>
      </c>
      <c r="BC14" s="86"/>
      <c r="BD14" s="86"/>
      <c r="BF14" s="291">
        <f t="shared" ref="BF14:CJ14" si="46">SUM(BF10:BF13)</f>
        <v>0</v>
      </c>
      <c r="BG14" s="291">
        <f t="shared" si="46"/>
        <v>0</v>
      </c>
      <c r="BH14" s="291">
        <f t="shared" si="46"/>
        <v>0</v>
      </c>
      <c r="BI14" s="291">
        <f t="shared" si="46"/>
        <v>0</v>
      </c>
      <c r="BJ14" s="291">
        <f t="shared" si="46"/>
        <v>0</v>
      </c>
      <c r="BK14" s="291">
        <f t="shared" si="46"/>
        <v>0</v>
      </c>
      <c r="BL14" s="291">
        <f t="shared" si="46"/>
        <v>0</v>
      </c>
      <c r="BM14" s="291">
        <f t="shared" si="46"/>
        <v>0</v>
      </c>
      <c r="BN14" s="291" t="e">
        <f t="shared" si="46"/>
        <v>#REF!</v>
      </c>
      <c r="BO14" s="291" t="e">
        <f t="shared" si="46"/>
        <v>#REF!</v>
      </c>
      <c r="BP14" s="291" t="e">
        <f t="shared" si="46"/>
        <v>#REF!</v>
      </c>
      <c r="BQ14" s="291" t="e">
        <f t="shared" si="46"/>
        <v>#REF!</v>
      </c>
      <c r="BR14" s="291" t="e">
        <f t="shared" si="46"/>
        <v>#REF!</v>
      </c>
      <c r="BS14" s="291" t="e">
        <f t="shared" si="46"/>
        <v>#REF!</v>
      </c>
      <c r="BT14" s="291" t="e">
        <f t="shared" si="46"/>
        <v>#REF!</v>
      </c>
      <c r="BU14" s="291" t="e">
        <f t="shared" si="46"/>
        <v>#REF!</v>
      </c>
      <c r="BV14" s="291" t="e">
        <f t="shared" si="46"/>
        <v>#REF!</v>
      </c>
      <c r="BW14" s="291" t="e">
        <f t="shared" si="46"/>
        <v>#REF!</v>
      </c>
      <c r="BX14" s="291" t="e">
        <f t="shared" si="46"/>
        <v>#REF!</v>
      </c>
      <c r="BY14" s="291" t="e">
        <f t="shared" si="46"/>
        <v>#REF!</v>
      </c>
      <c r="BZ14" s="291" t="e">
        <f t="shared" si="46"/>
        <v>#REF!</v>
      </c>
      <c r="CA14" s="291" t="e">
        <f t="shared" si="46"/>
        <v>#REF!</v>
      </c>
      <c r="CB14" s="291" t="e">
        <f t="shared" si="46"/>
        <v>#REF!</v>
      </c>
      <c r="CC14" s="291" t="e">
        <f t="shared" si="46"/>
        <v>#REF!</v>
      </c>
      <c r="CD14" s="291" t="e">
        <f t="shared" si="46"/>
        <v>#REF!</v>
      </c>
      <c r="CE14" s="291" t="e">
        <f t="shared" si="46"/>
        <v>#REF!</v>
      </c>
      <c r="CF14" s="291" t="e">
        <f t="shared" si="46"/>
        <v>#REF!</v>
      </c>
      <c r="CG14" s="291" t="e">
        <f t="shared" si="46"/>
        <v>#REF!</v>
      </c>
      <c r="CH14" s="291" t="e">
        <f t="shared" si="46"/>
        <v>#REF!</v>
      </c>
      <c r="CI14" s="291">
        <f t="shared" si="46"/>
        <v>0</v>
      </c>
      <c r="CJ14" s="291">
        <f t="shared" si="46"/>
        <v>0</v>
      </c>
      <c r="CK14" s="292" t="e">
        <f>SUM(CD14:CJ14)</f>
        <v>#REF!</v>
      </c>
    </row>
    <row r="16" spans="1:89">
      <c r="AV16" s="482"/>
    </row>
  </sheetData>
  <mergeCells count="45">
    <mergeCell ref="A1:BD1"/>
    <mergeCell ref="A2:A3"/>
    <mergeCell ref="B2:C3"/>
    <mergeCell ref="D2:D3"/>
    <mergeCell ref="E2:E3"/>
    <mergeCell ref="F2:F3"/>
    <mergeCell ref="G2:G3"/>
    <mergeCell ref="H2:H3"/>
    <mergeCell ref="I2:I3"/>
    <mergeCell ref="J2:J3"/>
    <mergeCell ref="X2:X3"/>
    <mergeCell ref="K2:L3"/>
    <mergeCell ref="M2:M3"/>
    <mergeCell ref="N2:N3"/>
    <mergeCell ref="O2:O3"/>
    <mergeCell ref="P2:P3"/>
    <mergeCell ref="BI2:BI3"/>
    <mergeCell ref="BJ2:BJ3"/>
    <mergeCell ref="BK2:BK3"/>
    <mergeCell ref="K4:L4"/>
    <mergeCell ref="BC2:BC3"/>
    <mergeCell ref="BD2:BD3"/>
    <mergeCell ref="BE2:BE3"/>
    <mergeCell ref="BF2:BF3"/>
    <mergeCell ref="BG2:BG3"/>
    <mergeCell ref="BH2:BH3"/>
    <mergeCell ref="Y2:AE2"/>
    <mergeCell ref="AG2:AL2"/>
    <mergeCell ref="AM2:AS2"/>
    <mergeCell ref="AT2:AT3"/>
    <mergeCell ref="AU2:AU3"/>
    <mergeCell ref="Q2:Q3"/>
    <mergeCell ref="AV2:BB2"/>
    <mergeCell ref="A10:A11"/>
    <mergeCell ref="D10:D11"/>
    <mergeCell ref="E10:E11"/>
    <mergeCell ref="A14:S14"/>
    <mergeCell ref="D5:D6"/>
    <mergeCell ref="E5:E6"/>
    <mergeCell ref="A5:A6"/>
    <mergeCell ref="W2:W3"/>
    <mergeCell ref="S2:S3"/>
    <mergeCell ref="T2:T3"/>
    <mergeCell ref="U2:U3"/>
    <mergeCell ref="V2:V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E00-000000000000}">
          <x14:formula1>
            <xm:f>'\\PIGSINSPACE\Gołcza\BAZA\GOTOWA BAZA i EFEKT\[Baza inwentaryzacji emisji (BEI) -Gmina Gołcza - Kopia.xlsx]Założenia,wskaźniki, listy'!#REF!</xm:f>
          </x14:formula1>
          <xm:sqref>BF5:BF12</xm:sqref>
        </x14:dataValidation>
        <x14:dataValidation type="list" allowBlank="1" showInputMessage="1" showErrorMessage="1" xr:uid="{00000000-0002-0000-0E00-000001000000}">
          <x14:formula1>
            <xm:f>'\\PIGSINSPACE\Gołcza\BAZA\GOTOWA BAZA i EFEKT\[Baza inwentaryzacji emisji (BEI) -Gmina Gołcza - Kopia.xlsx]Założenia,wskaźniki, listy'!#REF!</xm:f>
          </x14:formula1>
          <xm:sqref>BI5:BI12 BG5:BG12 H5:J12 BC5:BD12 N5:N12 T5:T12</xm:sqref>
        </x14:dataValidation>
        <x14:dataValidation type="list" allowBlank="1" showInputMessage="1" showErrorMessage="1" xr:uid="{00000000-0002-0000-0E00-000008000000}">
          <x14:formula1>
            <xm:f>'Założenia,wskaźniki, listy'!$A$4:$A$10</xm:f>
          </x14:formula1>
          <xm:sqref>O5:O12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249977111117893"/>
  </sheetPr>
  <dimension ref="A1:AB73"/>
  <sheetViews>
    <sheetView view="pageBreakPreview" zoomScaleNormal="110" zoomScaleSheetLayoutView="100" workbookViewId="0">
      <pane ySplit="5" topLeftCell="A13" activePane="bottomLeft" state="frozen"/>
      <selection pane="bottomLeft" activeCell="L23" sqref="L23:R23"/>
    </sheetView>
  </sheetViews>
  <sheetFormatPr defaultColWidth="9" defaultRowHeight="8.4"/>
  <cols>
    <col min="1" max="1" width="38.3984375" style="122" customWidth="1"/>
    <col min="2" max="2" width="3.3984375" style="122" hidden="1" customWidth="1"/>
    <col min="3" max="3" width="9.09765625" style="122" customWidth="1"/>
    <col min="4" max="4" width="5.59765625" style="122" bestFit="1" customWidth="1"/>
    <col min="5" max="5" width="8.19921875" style="122" bestFit="1" customWidth="1"/>
    <col min="6" max="6" width="7.19921875" style="122" customWidth="1"/>
    <col min="7" max="7" width="5.59765625" style="122" bestFit="1" customWidth="1"/>
    <col min="8" max="8" width="7.69921875" style="122" customWidth="1"/>
    <col min="9" max="9" width="10.5" style="122" hidden="1" customWidth="1"/>
    <col min="10" max="10" width="3.19921875" style="357" customWidth="1"/>
    <col min="11" max="11" width="9.8984375" style="122" customWidth="1"/>
    <col min="12" max="12" width="10.5" style="122" bestFit="1" customWidth="1"/>
    <col min="13" max="13" width="9.3984375" style="122" customWidth="1"/>
    <col min="14" max="14" width="9.19921875" style="122" bestFit="1" customWidth="1"/>
    <col min="15" max="15" width="5.8984375" style="122" bestFit="1" customWidth="1"/>
    <col min="16" max="16" width="5.59765625" style="122" customWidth="1"/>
    <col min="17" max="17" width="7.3984375" style="122" bestFit="1" customWidth="1"/>
    <col min="18" max="18" width="8.19921875" style="122" bestFit="1" customWidth="1"/>
    <col min="19" max="19" width="6" style="122" bestFit="1" customWidth="1"/>
    <col min="20" max="20" width="11.09765625" style="122" bestFit="1" customWidth="1"/>
    <col min="21" max="21" width="10" style="122" bestFit="1" customWidth="1"/>
    <col min="22" max="22" width="10.19921875" style="122" customWidth="1"/>
    <col min="23" max="23" width="14.3984375" style="122" customWidth="1"/>
    <col min="24" max="16384" width="9" style="122"/>
  </cols>
  <sheetData>
    <row r="1" spans="1:28" ht="15.6">
      <c r="A1" s="156" t="s">
        <v>551</v>
      </c>
      <c r="B1" s="120"/>
      <c r="C1" s="120"/>
      <c r="D1" s="120"/>
      <c r="E1" s="120"/>
      <c r="F1" s="120"/>
      <c r="G1" s="120"/>
      <c r="H1" s="120"/>
      <c r="I1" s="121"/>
      <c r="J1" s="120"/>
      <c r="K1" s="120"/>
      <c r="L1" s="120"/>
      <c r="M1" s="120"/>
      <c r="N1" s="120"/>
      <c r="O1" s="120"/>
      <c r="P1" s="120"/>
      <c r="Q1" s="120"/>
      <c r="R1" s="120"/>
      <c r="S1" s="120"/>
      <c r="T1" s="121"/>
      <c r="U1" s="121"/>
      <c r="V1" s="121"/>
      <c r="W1" s="121"/>
      <c r="X1" s="121"/>
      <c r="Y1" s="121"/>
      <c r="Z1" s="121"/>
      <c r="AA1" s="121"/>
      <c r="AB1" s="121"/>
    </row>
    <row r="2" spans="1:28" ht="13.8" thickBot="1">
      <c r="A2" s="701" t="s">
        <v>447</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row>
    <row r="3" spans="1:28" ht="46.5" customHeight="1">
      <c r="A3" s="123" t="s">
        <v>235</v>
      </c>
      <c r="B3" s="124"/>
      <c r="C3" s="123" t="s">
        <v>227</v>
      </c>
      <c r="D3" s="123" t="s">
        <v>226</v>
      </c>
      <c r="E3" s="123" t="s">
        <v>225</v>
      </c>
      <c r="F3" s="123" t="s">
        <v>224</v>
      </c>
      <c r="G3" s="123" t="s">
        <v>223</v>
      </c>
      <c r="H3" s="125" t="s">
        <v>222</v>
      </c>
      <c r="K3" s="1195" t="s">
        <v>230</v>
      </c>
      <c r="L3" s="1197" t="s">
        <v>232</v>
      </c>
      <c r="M3" s="1192" t="s">
        <v>231</v>
      </c>
      <c r="N3" s="1193"/>
      <c r="O3" s="1193"/>
      <c r="P3" s="1193"/>
      <c r="Q3" s="1193"/>
      <c r="R3" s="1193"/>
      <c r="S3" s="1194"/>
    </row>
    <row r="4" spans="1:28" ht="15.75" customHeight="1">
      <c r="A4" s="169" t="s">
        <v>645</v>
      </c>
      <c r="B4" s="170"/>
      <c r="C4" s="171"/>
      <c r="D4" s="171"/>
      <c r="E4" s="171"/>
      <c r="F4" s="171"/>
      <c r="G4" s="171"/>
      <c r="H4" s="175">
        <f>SUM(H5:I8)</f>
        <v>4770</v>
      </c>
      <c r="K4" s="1196"/>
      <c r="L4" s="1198"/>
      <c r="M4" s="126" t="s">
        <v>72</v>
      </c>
      <c r="N4" s="126" t="s">
        <v>100</v>
      </c>
      <c r="O4" s="126" t="s">
        <v>213</v>
      </c>
      <c r="P4" s="126" t="s">
        <v>145</v>
      </c>
      <c r="Q4" s="126" t="s">
        <v>67</v>
      </c>
      <c r="R4" s="126" t="s">
        <v>66</v>
      </c>
      <c r="S4" s="127" t="s">
        <v>203</v>
      </c>
    </row>
    <row r="5" spans="1:28" ht="10.199999999999999">
      <c r="A5" s="172" t="s">
        <v>618</v>
      </c>
      <c r="B5" s="173">
        <v>5.5</v>
      </c>
      <c r="C5" s="174">
        <v>2058</v>
      </c>
      <c r="D5" s="174">
        <v>33</v>
      </c>
      <c r="E5" s="174">
        <v>154</v>
      </c>
      <c r="F5" s="174">
        <f>113+149</f>
        <v>262</v>
      </c>
      <c r="G5" s="174">
        <v>8</v>
      </c>
      <c r="H5" s="175">
        <f>SUM(C5:G5)</f>
        <v>2515</v>
      </c>
      <c r="K5" s="1189" t="s">
        <v>202</v>
      </c>
      <c r="L5" s="131" t="s">
        <v>199</v>
      </c>
      <c r="M5" s="131">
        <v>84.7</v>
      </c>
      <c r="N5" s="130">
        <v>3.18</v>
      </c>
      <c r="O5" s="130">
        <v>0.04</v>
      </c>
      <c r="P5" s="131">
        <v>8.73</v>
      </c>
      <c r="Q5" s="130">
        <f>0.03/2</f>
        <v>1.4999999999999999E-2</v>
      </c>
      <c r="R5" s="130">
        <f t="shared" ref="R5:R11" si="0">+Q5</f>
        <v>1.4999999999999999E-2</v>
      </c>
      <c r="S5" s="132">
        <v>5.4999999999999999E-6</v>
      </c>
    </row>
    <row r="6" spans="1:28" ht="10.199999999999999">
      <c r="A6" s="172" t="s">
        <v>619</v>
      </c>
      <c r="B6" s="174">
        <v>1.6</v>
      </c>
      <c r="C6" s="174">
        <v>1735</v>
      </c>
      <c r="D6" s="174">
        <v>24</v>
      </c>
      <c r="E6" s="174">
        <v>220</v>
      </c>
      <c r="F6" s="174">
        <f>113+120</f>
        <v>233</v>
      </c>
      <c r="G6" s="174">
        <v>43</v>
      </c>
      <c r="H6" s="175">
        <f t="shared" ref="H6:H7" si="1">SUM(C6:G6)</f>
        <v>2255</v>
      </c>
      <c r="K6" s="1190"/>
      <c r="L6" s="131" t="s">
        <v>198</v>
      </c>
      <c r="M6" s="131">
        <v>3.33</v>
      </c>
      <c r="N6" s="130">
        <v>3.14</v>
      </c>
      <c r="O6" s="130">
        <v>8.0000000000000002E-3</v>
      </c>
      <c r="P6" s="131">
        <v>12.96</v>
      </c>
      <c r="Q6" s="130">
        <f>1.1/5</f>
        <v>0.22000000000000003</v>
      </c>
      <c r="R6" s="130">
        <f t="shared" si="0"/>
        <v>0.22000000000000003</v>
      </c>
      <c r="S6" s="132">
        <v>2.1399999999999998E-5</v>
      </c>
    </row>
    <row r="7" spans="1:28" ht="10.199999999999999">
      <c r="A7" s="172"/>
      <c r="B7" s="174"/>
      <c r="C7" s="174"/>
      <c r="D7" s="174"/>
      <c r="E7" s="174"/>
      <c r="F7" s="174"/>
      <c r="G7" s="174"/>
      <c r="H7" s="175">
        <f t="shared" si="1"/>
        <v>0</v>
      </c>
      <c r="K7" s="1191"/>
      <c r="L7" s="131" t="s">
        <v>201</v>
      </c>
      <c r="M7" s="131">
        <v>84.7</v>
      </c>
      <c r="N7" s="130">
        <v>3.0169999999999999</v>
      </c>
      <c r="O7" s="130"/>
      <c r="P7" s="131">
        <v>15.2</v>
      </c>
      <c r="Q7" s="130">
        <v>0</v>
      </c>
      <c r="R7" s="130">
        <f t="shared" si="0"/>
        <v>0</v>
      </c>
      <c r="S7" s="132">
        <v>1.9999999999999999E-7</v>
      </c>
    </row>
    <row r="8" spans="1:28" ht="10.199999999999999">
      <c r="A8" s="172"/>
      <c r="B8" s="174"/>
      <c r="C8" s="174"/>
      <c r="D8" s="174"/>
      <c r="E8" s="174"/>
      <c r="F8" s="174"/>
      <c r="G8" s="174"/>
      <c r="H8" s="175"/>
      <c r="K8" s="133" t="s">
        <v>200</v>
      </c>
      <c r="L8" s="131" t="s">
        <v>199</v>
      </c>
      <c r="M8" s="131">
        <v>497.7</v>
      </c>
      <c r="N8" s="130">
        <f>N5</f>
        <v>3.18</v>
      </c>
      <c r="O8" s="130">
        <f>O5</f>
        <v>0.04</v>
      </c>
      <c r="P8" s="131">
        <v>6.64</v>
      </c>
      <c r="Q8" s="130">
        <f>2.2/2</f>
        <v>1.1000000000000001</v>
      </c>
      <c r="R8" s="130">
        <f t="shared" si="0"/>
        <v>1.1000000000000001</v>
      </c>
      <c r="S8" s="134">
        <v>8.3999999999999992E-6</v>
      </c>
    </row>
    <row r="9" spans="1:28" ht="10.199999999999999">
      <c r="A9" s="172" t="s">
        <v>229</v>
      </c>
      <c r="B9" s="189"/>
      <c r="C9" s="174"/>
      <c r="D9" s="174"/>
      <c r="E9" s="174"/>
      <c r="F9" s="174"/>
      <c r="G9" s="174"/>
      <c r="H9" s="175"/>
      <c r="K9" s="128" t="s">
        <v>233</v>
      </c>
      <c r="L9" s="711" t="s">
        <v>199</v>
      </c>
      <c r="M9" s="711">
        <v>152.30000000000001</v>
      </c>
      <c r="N9" s="712">
        <f>N5</f>
        <v>3.18</v>
      </c>
      <c r="O9" s="712">
        <f>O5</f>
        <v>0.04</v>
      </c>
      <c r="P9" s="711">
        <v>13.22</v>
      </c>
      <c r="Q9" s="712">
        <f>0.02/2</f>
        <v>0.01</v>
      </c>
      <c r="R9" s="712">
        <f t="shared" si="0"/>
        <v>0.01</v>
      </c>
      <c r="S9" s="134">
        <v>4.1999999999999996E-6</v>
      </c>
    </row>
    <row r="10" spans="1:28" ht="10.199999999999999">
      <c r="A10" s="169" t="s">
        <v>446</v>
      </c>
      <c r="B10" s="884">
        <v>0.6</v>
      </c>
      <c r="C10" s="176">
        <f>+C5*$B5+C6*$B6+C7*$B7+C8*$B8+C9*$B9</f>
        <v>14095</v>
      </c>
      <c r="D10" s="176">
        <f>+D5*$B5+D6*$B6+D7*$B7+D8*$B8+D9*$B9</f>
        <v>219.9</v>
      </c>
      <c r="E10" s="176">
        <f>+E5*$B5+E6*$B6+E7*$B7+E8*$B8+E9*$B9</f>
        <v>1199</v>
      </c>
      <c r="F10" s="176">
        <f>+F5*$B5+F6*$B6+F7*$B7+F8*$B8+F9*$B9</f>
        <v>1813.8</v>
      </c>
      <c r="G10" s="176">
        <f>+G5*$B5+G6*$B6+G7*$B7+G8*$B8+G9*$B9</f>
        <v>112.8</v>
      </c>
      <c r="H10" s="175">
        <f>+H5*$B5+H6*$B6+H7*$B7+H4*$B8+H9*$B9</f>
        <v>17440.5</v>
      </c>
      <c r="K10" s="128" t="s">
        <v>233</v>
      </c>
      <c r="L10" s="131" t="s">
        <v>198</v>
      </c>
      <c r="M10" s="131">
        <v>7.4</v>
      </c>
      <c r="N10" s="130">
        <f>N6</f>
        <v>3.14</v>
      </c>
      <c r="O10" s="130">
        <f>O6</f>
        <v>8.0000000000000002E-3</v>
      </c>
      <c r="P10" s="131">
        <v>14.91</v>
      </c>
      <c r="Q10" s="130">
        <f>1.52/2</f>
        <v>0.76</v>
      </c>
      <c r="R10" s="130">
        <f t="shared" si="0"/>
        <v>0.76</v>
      </c>
      <c r="S10" s="132">
        <v>1.5800000000000001E-5</v>
      </c>
    </row>
    <row r="11" spans="1:28" ht="10.8" thickBot="1">
      <c r="A11" s="169" t="s">
        <v>384</v>
      </c>
      <c r="B11" s="884">
        <v>0.4</v>
      </c>
      <c r="C11" s="176">
        <f>ROUND($B$11*C10/$B$10,0)</f>
        <v>9397</v>
      </c>
      <c r="D11" s="176">
        <f t="shared" ref="D11:G11" si="2">ROUND($B$11*D10/$B$10,0)</f>
        <v>147</v>
      </c>
      <c r="E11" s="176">
        <f t="shared" si="2"/>
        <v>799</v>
      </c>
      <c r="F11" s="176">
        <f t="shared" si="2"/>
        <v>1209</v>
      </c>
      <c r="G11" s="176">
        <f t="shared" si="2"/>
        <v>75</v>
      </c>
      <c r="H11" s="175">
        <f>SUM(C11:G11)</f>
        <v>11627</v>
      </c>
      <c r="K11" s="135" t="s">
        <v>234</v>
      </c>
      <c r="L11" s="136" t="s">
        <v>198</v>
      </c>
      <c r="M11" s="136">
        <v>7.58</v>
      </c>
      <c r="N11" s="137">
        <f>N6</f>
        <v>3.14</v>
      </c>
      <c r="O11" s="137">
        <f>O6</f>
        <v>8.0000000000000002E-3</v>
      </c>
      <c r="P11" s="136">
        <v>33.369999999999997</v>
      </c>
      <c r="Q11" s="137">
        <f>0.94/2</f>
        <v>0.47</v>
      </c>
      <c r="R11" s="137">
        <f t="shared" si="0"/>
        <v>0.47</v>
      </c>
      <c r="S11" s="138">
        <v>5.1000000000000003E-6</v>
      </c>
    </row>
    <row r="12" spans="1:28" ht="10.199999999999999">
      <c r="A12" s="169"/>
      <c r="B12" s="885"/>
      <c r="C12" s="174"/>
      <c r="D12" s="174"/>
      <c r="E12" s="174"/>
      <c r="F12" s="174"/>
      <c r="G12" s="174"/>
      <c r="H12" s="177"/>
    </row>
    <row r="13" spans="1:28" ht="10.199999999999999">
      <c r="A13" s="178" t="s">
        <v>287</v>
      </c>
      <c r="B13" s="179"/>
      <c r="C13" s="179"/>
      <c r="D13" s="179"/>
      <c r="E13" s="179"/>
      <c r="F13" s="179"/>
      <c r="G13" s="179"/>
      <c r="H13" s="180"/>
      <c r="K13" s="821"/>
    </row>
    <row r="14" spans="1:28" ht="10.199999999999999">
      <c r="A14" s="172"/>
      <c r="B14" s="174"/>
      <c r="C14" s="181">
        <f>+SUM(C10+C11)*365</f>
        <v>8574580</v>
      </c>
      <c r="D14" s="181">
        <f>+SUM(D10+D11)*365</f>
        <v>133918.5</v>
      </c>
      <c r="E14" s="181">
        <f>+SUM(E10+E11)*365</f>
        <v>729270</v>
      </c>
      <c r="F14" s="181">
        <f>+SUM(F10+F11)*365</f>
        <v>1103322</v>
      </c>
      <c r="G14" s="181">
        <f>+SUM(G10+G11)*365</f>
        <v>68547</v>
      </c>
      <c r="H14" s="182">
        <f>SUM(C14:G14)</f>
        <v>10609637.5</v>
      </c>
    </row>
    <row r="15" spans="1:28" ht="21" thickBot="1">
      <c r="A15" s="183" t="s">
        <v>221</v>
      </c>
      <c r="B15" s="179"/>
      <c r="C15" s="179"/>
      <c r="D15" s="179"/>
      <c r="E15" s="179"/>
      <c r="F15" s="179"/>
      <c r="G15" s="179"/>
      <c r="H15" s="180"/>
      <c r="K15" s="710" t="s">
        <v>620</v>
      </c>
    </row>
    <row r="16" spans="1:28" ht="22.5" customHeight="1">
      <c r="A16" s="172" t="s">
        <v>220</v>
      </c>
      <c r="B16" s="174"/>
      <c r="C16" s="184">
        <f>+C14/$H$14</f>
        <v>0.80818783865141486</v>
      </c>
      <c r="D16" s="184">
        <f>+D14/$H$14</f>
        <v>1.2622344542874345E-2</v>
      </c>
      <c r="E16" s="184">
        <f>+E14/$H$14</f>
        <v>6.8736561451793243E-2</v>
      </c>
      <c r="F16" s="184">
        <f>+F14/$H$14</f>
        <v>0.10399243140964995</v>
      </c>
      <c r="G16" s="184">
        <f>+G14/$H$14</f>
        <v>6.4608239442676529E-3</v>
      </c>
      <c r="H16" s="185">
        <f>SUM(C16:G16)</f>
        <v>1.0000000000000002</v>
      </c>
      <c r="K16" s="1180" t="s">
        <v>450</v>
      </c>
      <c r="L16" s="1183" t="s">
        <v>144</v>
      </c>
      <c r="M16" s="1184"/>
      <c r="N16" s="1184"/>
      <c r="O16" s="1184"/>
      <c r="P16" s="1184"/>
      <c r="Q16" s="1184"/>
      <c r="R16" s="1185"/>
    </row>
    <row r="17" spans="1:24" ht="11.4">
      <c r="A17" s="172" t="s">
        <v>199</v>
      </c>
      <c r="B17" s="174"/>
      <c r="C17" s="186">
        <f>+$C$16*L60</f>
        <v>0.4324978498582096</v>
      </c>
      <c r="D17" s="186">
        <f>+D16</f>
        <v>1.2622344542874345E-2</v>
      </c>
      <c r="E17" s="187">
        <f>+$E$16*M60</f>
        <v>7.7259081789556733E-3</v>
      </c>
      <c r="F17" s="186">
        <v>0</v>
      </c>
      <c r="G17" s="186">
        <v>0</v>
      </c>
      <c r="H17" s="185">
        <f>SUM(C17:G17)</f>
        <v>0.45284610258003966</v>
      </c>
      <c r="K17" s="1181"/>
      <c r="L17" s="708" t="s">
        <v>66</v>
      </c>
      <c r="M17" s="708" t="s">
        <v>67</v>
      </c>
      <c r="N17" s="708" t="s">
        <v>454</v>
      </c>
      <c r="O17" s="708" t="s">
        <v>455</v>
      </c>
      <c r="P17" s="708" t="s">
        <v>456</v>
      </c>
      <c r="Q17" s="708" t="s">
        <v>145</v>
      </c>
      <c r="R17" s="715" t="s">
        <v>72</v>
      </c>
      <c r="X17" s="139"/>
    </row>
    <row r="18" spans="1:24" ht="10.199999999999999">
      <c r="A18" s="172" t="s">
        <v>204</v>
      </c>
      <c r="B18" s="174"/>
      <c r="C18" s="186">
        <f>+$C$16*L61</f>
        <v>0.23656093575990142</v>
      </c>
      <c r="D18" s="186">
        <v>0</v>
      </c>
      <c r="E18" s="187">
        <f>+$E$16*M61</f>
        <v>5.9220940398726975E-2</v>
      </c>
      <c r="F18" s="186">
        <f>+F16</f>
        <v>0.10399243140964995</v>
      </c>
      <c r="G18" s="186">
        <f>+G16</f>
        <v>6.4608239442676529E-3</v>
      </c>
      <c r="H18" s="185">
        <f>SUM(C18:G18)</f>
        <v>0.40623513151254603</v>
      </c>
      <c r="K18" s="1182"/>
      <c r="L18" s="1186" t="s">
        <v>146</v>
      </c>
      <c r="M18" s="1187"/>
      <c r="N18" s="1187"/>
      <c r="O18" s="1187"/>
      <c r="P18" s="1187"/>
      <c r="Q18" s="1187"/>
      <c r="R18" s="1188"/>
      <c r="X18" s="139"/>
    </row>
    <row r="19" spans="1:24" ht="10.199999999999999">
      <c r="A19" s="172" t="s">
        <v>201</v>
      </c>
      <c r="B19" s="174"/>
      <c r="C19" s="186">
        <f>+$C$16*L62</f>
        <v>0.13912905303330381</v>
      </c>
      <c r="D19" s="186">
        <v>0</v>
      </c>
      <c r="E19" s="187">
        <f>+$E$16*M62</f>
        <v>1.7897128741105974E-3</v>
      </c>
      <c r="F19" s="186">
        <v>0</v>
      </c>
      <c r="G19" s="186">
        <v>0</v>
      </c>
      <c r="H19" s="185">
        <f>SUM(C19:G19)</f>
        <v>0.1409187659074144</v>
      </c>
      <c r="K19" s="764" t="s">
        <v>458</v>
      </c>
      <c r="L19" s="709">
        <f>R10*D65/1000000</f>
        <v>6.027281384E-3</v>
      </c>
      <c r="M19" s="709">
        <f>Q10*D65/1000000</f>
        <v>6.027281384E-3</v>
      </c>
      <c r="N19" s="709">
        <f>N10*D65/1000</f>
        <v>24.902188876</v>
      </c>
      <c r="O19" s="709">
        <f>S10*D65/1000</f>
        <v>1.2530400772000001E-4</v>
      </c>
      <c r="P19" s="709">
        <f>O10*D65/1000000</f>
        <v>6.34450672E-5</v>
      </c>
      <c r="Q19" s="709">
        <f>P10*D65/1000000</f>
        <v>0.11824574399400001</v>
      </c>
      <c r="R19" s="717">
        <f>M10*H56/1000000</f>
        <v>1.2743091853631999E-4</v>
      </c>
      <c r="X19" s="139"/>
    </row>
    <row r="20" spans="1:24" ht="10.199999999999999">
      <c r="A20" s="178" t="s">
        <v>218</v>
      </c>
      <c r="B20" s="179"/>
      <c r="C20" s="179"/>
      <c r="D20" s="179"/>
      <c r="E20" s="179"/>
      <c r="F20" s="179"/>
      <c r="G20" s="179"/>
      <c r="H20" s="180"/>
      <c r="K20" s="764" t="s">
        <v>459</v>
      </c>
      <c r="L20" s="709">
        <f>R9*D64/1000000</f>
        <v>0</v>
      </c>
      <c r="M20" s="709">
        <f>Q9*D64/1000000</f>
        <v>0</v>
      </c>
      <c r="N20" s="709">
        <f>N9*D64/1000</f>
        <v>0</v>
      </c>
      <c r="O20" s="709">
        <f>S9*D64/1000000</f>
        <v>0</v>
      </c>
      <c r="P20" s="709">
        <f>O9*D64/1000000</f>
        <v>0</v>
      </c>
      <c r="Q20" s="709">
        <f>P9*D64/1000000</f>
        <v>0</v>
      </c>
      <c r="R20" s="717">
        <f>M9*D64/1000000</f>
        <v>0</v>
      </c>
    </row>
    <row r="21" spans="1:24" ht="11.25" customHeight="1">
      <c r="A21" s="188" t="s">
        <v>205</v>
      </c>
      <c r="B21" s="189"/>
      <c r="C21" s="174">
        <v>70</v>
      </c>
      <c r="D21" s="174">
        <v>35</v>
      </c>
      <c r="E21" s="174">
        <v>100</v>
      </c>
      <c r="F21" s="174"/>
      <c r="G21" s="174"/>
      <c r="H21" s="177"/>
      <c r="K21" s="716" t="s">
        <v>460</v>
      </c>
      <c r="L21" s="709">
        <f>SUM(L19:L20)</f>
        <v>6.027281384E-3</v>
      </c>
      <c r="M21" s="709">
        <f t="shared" ref="M21:R21" si="3">SUM(M19:M20)</f>
        <v>6.027281384E-3</v>
      </c>
      <c r="N21" s="709">
        <f t="shared" si="3"/>
        <v>24.902188876</v>
      </c>
      <c r="O21" s="709">
        <f t="shared" si="3"/>
        <v>1.2530400772000001E-4</v>
      </c>
      <c r="P21" s="709">
        <f t="shared" si="3"/>
        <v>6.34450672E-5</v>
      </c>
      <c r="Q21" s="709">
        <f t="shared" si="3"/>
        <v>0.11824574399400001</v>
      </c>
      <c r="R21" s="717">
        <f t="shared" si="3"/>
        <v>1.2743091853631999E-4</v>
      </c>
    </row>
    <row r="22" spans="1:24" ht="10.199999999999999">
      <c r="A22" s="188" t="s">
        <v>204</v>
      </c>
      <c r="B22" s="189"/>
      <c r="C22" s="174">
        <v>60</v>
      </c>
      <c r="D22" s="174"/>
      <c r="E22" s="174">
        <v>80</v>
      </c>
      <c r="F22" s="174">
        <v>240</v>
      </c>
      <c r="G22" s="174">
        <v>240</v>
      </c>
      <c r="H22" s="177"/>
      <c r="K22" s="716" t="s">
        <v>451</v>
      </c>
      <c r="L22" s="709">
        <f>H48/1000</f>
        <v>0.21357384528449999</v>
      </c>
      <c r="M22" s="709">
        <f>H44/1000</f>
        <v>0.21357384528449999</v>
      </c>
      <c r="N22" s="709">
        <f>H32</f>
        <v>2839.7266057835504</v>
      </c>
      <c r="O22" s="709">
        <f>H52/1000000</f>
        <v>7.3085740140399983E-6</v>
      </c>
      <c r="P22" s="709">
        <f>H56/1000</f>
        <v>1.7220394396799999E-2</v>
      </c>
      <c r="Q22" s="709">
        <f>H40/1000</f>
        <v>16.320082489327</v>
      </c>
      <c r="R22" s="717">
        <f>H36/1000</f>
        <v>47.930240627209002</v>
      </c>
    </row>
    <row r="23" spans="1:24" ht="10.8" thickBot="1">
      <c r="A23" s="188" t="s">
        <v>201</v>
      </c>
      <c r="B23" s="189"/>
      <c r="C23" s="174">
        <v>57.5</v>
      </c>
      <c r="D23" s="174"/>
      <c r="E23" s="174">
        <v>130</v>
      </c>
      <c r="F23" s="174"/>
      <c r="G23" s="174"/>
      <c r="H23" s="190"/>
      <c r="K23" s="718" t="s">
        <v>457</v>
      </c>
      <c r="L23" s="719">
        <f t="shared" ref="L23:R23" si="4">SUM(L19:L22)</f>
        <v>0.22562840805249998</v>
      </c>
      <c r="M23" s="719">
        <f t="shared" si="4"/>
        <v>0.22562840805249998</v>
      </c>
      <c r="N23" s="719">
        <f t="shared" si="4"/>
        <v>2889.5309835355506</v>
      </c>
      <c r="O23" s="719">
        <f t="shared" si="4"/>
        <v>2.5791658945404001E-4</v>
      </c>
      <c r="P23" s="719">
        <f t="shared" si="4"/>
        <v>1.7347284531199998E-2</v>
      </c>
      <c r="Q23" s="719">
        <f t="shared" si="4"/>
        <v>16.556573977315001</v>
      </c>
      <c r="R23" s="720">
        <f t="shared" si="4"/>
        <v>47.930495489046073</v>
      </c>
    </row>
    <row r="24" spans="1:24" ht="10.199999999999999">
      <c r="A24" s="191" t="s">
        <v>214</v>
      </c>
      <c r="B24" s="192"/>
      <c r="C24" s="192"/>
      <c r="D24" s="192"/>
      <c r="E24" s="192"/>
      <c r="F24" s="192"/>
      <c r="G24" s="192"/>
      <c r="H24" s="193"/>
      <c r="L24" s="363">
        <f>L23/100</f>
        <v>2.2562840805249998E-3</v>
      </c>
      <c r="M24" s="363">
        <f t="shared" ref="M24:R24" si="5">M23</f>
        <v>0.22562840805249998</v>
      </c>
      <c r="N24" s="363">
        <f>N23/100</f>
        <v>28.895309835355505</v>
      </c>
      <c r="O24" s="363">
        <f t="shared" si="5"/>
        <v>2.5791658945404001E-4</v>
      </c>
      <c r="P24" s="363">
        <f t="shared" si="5"/>
        <v>1.7347284531199998E-2</v>
      </c>
      <c r="Q24" s="363">
        <f t="shared" si="5"/>
        <v>16.556573977315001</v>
      </c>
      <c r="R24" s="363">
        <f t="shared" si="5"/>
        <v>47.930495489046073</v>
      </c>
    </row>
    <row r="25" spans="1:24" ht="10.199999999999999">
      <c r="A25" s="188" t="s">
        <v>205</v>
      </c>
      <c r="B25" s="189"/>
      <c r="C25" s="181">
        <f t="shared" ref="C25:G27" si="6">ROUND(C17*$H$14,2)</f>
        <v>4588645.41</v>
      </c>
      <c r="D25" s="181">
        <f t="shared" si="6"/>
        <v>133918.5</v>
      </c>
      <c r="E25" s="181">
        <f t="shared" si="6"/>
        <v>81969.09</v>
      </c>
      <c r="F25" s="181">
        <f t="shared" si="6"/>
        <v>0</v>
      </c>
      <c r="G25" s="181">
        <f t="shared" si="6"/>
        <v>0</v>
      </c>
      <c r="H25" s="194">
        <f>SUM(C25:G25)</f>
        <v>4804533</v>
      </c>
    </row>
    <row r="26" spans="1:24" ht="10.8" thickBot="1">
      <c r="A26" s="188" t="s">
        <v>204</v>
      </c>
      <c r="B26" s="189"/>
      <c r="C26" s="181">
        <f t="shared" si="6"/>
        <v>2509825.7799999998</v>
      </c>
      <c r="D26" s="181">
        <f t="shared" si="6"/>
        <v>0</v>
      </c>
      <c r="E26" s="181">
        <f t="shared" si="6"/>
        <v>628312.71</v>
      </c>
      <c r="F26" s="181">
        <f t="shared" si="6"/>
        <v>1103322</v>
      </c>
      <c r="G26" s="181">
        <f t="shared" si="6"/>
        <v>68547</v>
      </c>
      <c r="H26" s="194">
        <f>SUM(C26:G26)</f>
        <v>4310007.49</v>
      </c>
    </row>
    <row r="27" spans="1:24" ht="10.8" thickBot="1">
      <c r="A27" s="195" t="s">
        <v>201</v>
      </c>
      <c r="B27" s="196"/>
      <c r="C27" s="197">
        <f t="shared" si="6"/>
        <v>1476108.82</v>
      </c>
      <c r="D27" s="197">
        <f t="shared" si="6"/>
        <v>0</v>
      </c>
      <c r="E27" s="197">
        <f t="shared" si="6"/>
        <v>18988.2</v>
      </c>
      <c r="F27" s="197">
        <f t="shared" si="6"/>
        <v>0</v>
      </c>
      <c r="G27" s="197">
        <f t="shared" si="6"/>
        <v>0</v>
      </c>
      <c r="H27" s="198">
        <f>SUM(C27:G27)</f>
        <v>1495097.02</v>
      </c>
      <c r="I27" s="242" t="s">
        <v>286</v>
      </c>
      <c r="J27" s="358"/>
      <c r="L27" s="129"/>
    </row>
    <row r="28" spans="1:24" ht="10.8" thickBot="1">
      <c r="A28" s="199" t="s">
        <v>212</v>
      </c>
      <c r="B28" s="200"/>
      <c r="C28" s="200"/>
      <c r="D28" s="200"/>
      <c r="E28" s="200"/>
      <c r="F28" s="200"/>
      <c r="G28" s="200"/>
      <c r="H28" s="201">
        <f>SUM(H29:H31)</f>
        <v>903537.08195000002</v>
      </c>
      <c r="I28" s="239"/>
      <c r="J28" s="359"/>
      <c r="L28" s="129"/>
    </row>
    <row r="29" spans="1:24" ht="10.199999999999999">
      <c r="A29" s="202" t="s">
        <v>205</v>
      </c>
      <c r="B29" s="203"/>
      <c r="C29" s="204">
        <f t="shared" ref="C29:G31" si="7">+C21*C25/1000</f>
        <v>321205.17869999999</v>
      </c>
      <c r="D29" s="204">
        <f t="shared" si="7"/>
        <v>4687.1475</v>
      </c>
      <c r="E29" s="204">
        <f t="shared" si="7"/>
        <v>8196.9089999999997</v>
      </c>
      <c r="F29" s="204">
        <f t="shared" si="7"/>
        <v>0</v>
      </c>
      <c r="G29" s="204">
        <f t="shared" si="7"/>
        <v>0</v>
      </c>
      <c r="H29" s="205">
        <f>SUM(C29:G29)</f>
        <v>334089.2352</v>
      </c>
      <c r="I29" s="243"/>
      <c r="J29" s="360"/>
      <c r="L29" s="129"/>
    </row>
    <row r="30" spans="1:24" ht="12">
      <c r="A30" s="188" t="s">
        <v>204</v>
      </c>
      <c r="B30" s="206"/>
      <c r="C30" s="207">
        <f t="shared" si="7"/>
        <v>150589.54679999998</v>
      </c>
      <c r="D30" s="207">
        <f t="shared" si="7"/>
        <v>0</v>
      </c>
      <c r="E30" s="207">
        <f t="shared" si="7"/>
        <v>50265.016799999998</v>
      </c>
      <c r="F30" s="207">
        <f t="shared" si="7"/>
        <v>264797.28000000003</v>
      </c>
      <c r="G30" s="207">
        <f t="shared" si="7"/>
        <v>16451.28</v>
      </c>
      <c r="H30" s="208">
        <f>SUM(C30:G30)</f>
        <v>482103.12360000005</v>
      </c>
      <c r="I30" s="243"/>
      <c r="J30" s="360"/>
      <c r="K30" s="129"/>
      <c r="T30" s="822"/>
      <c r="U30" s="822"/>
      <c r="V30" s="822"/>
    </row>
    <row r="31" spans="1:24" ht="12.6" thickBot="1">
      <c r="A31" s="209" t="s">
        <v>201</v>
      </c>
      <c r="B31" s="210"/>
      <c r="C31" s="211">
        <f t="shared" si="7"/>
        <v>84876.257150000005</v>
      </c>
      <c r="D31" s="211">
        <f t="shared" si="7"/>
        <v>0</v>
      </c>
      <c r="E31" s="211">
        <f t="shared" si="7"/>
        <v>2468.4659999999999</v>
      </c>
      <c r="F31" s="211">
        <f t="shared" si="7"/>
        <v>0</v>
      </c>
      <c r="G31" s="211">
        <f t="shared" si="7"/>
        <v>0</v>
      </c>
      <c r="H31" s="212">
        <f>SUM(C31:G31)</f>
        <v>87344.723150000005</v>
      </c>
      <c r="I31" s="244"/>
      <c r="J31" s="358"/>
      <c r="T31" s="823"/>
      <c r="U31" s="823"/>
      <c r="V31" s="823"/>
      <c r="W31" s="824"/>
    </row>
    <row r="32" spans="1:24" ht="12.6" thickBot="1">
      <c r="A32" s="213" t="s">
        <v>285</v>
      </c>
      <c r="B32" s="214"/>
      <c r="C32" s="173"/>
      <c r="D32" s="173"/>
      <c r="E32" s="173"/>
      <c r="F32" s="173"/>
      <c r="G32" s="173"/>
      <c r="H32" s="201">
        <f>SUM(H33:H35)</f>
        <v>2839.7266057835504</v>
      </c>
      <c r="I32" s="239"/>
      <c r="J32" s="359"/>
      <c r="T32" s="823"/>
      <c r="U32" s="823"/>
      <c r="V32" s="823"/>
    </row>
    <row r="33" spans="1:23" ht="12">
      <c r="A33" s="202" t="s">
        <v>205</v>
      </c>
      <c r="B33" s="203"/>
      <c r="C33" s="215">
        <f t="shared" ref="C33:G35" si="8">+C29*$N5/1000</f>
        <v>1021.432468266</v>
      </c>
      <c r="D33" s="215">
        <f t="shared" si="8"/>
        <v>14.905129050000001</v>
      </c>
      <c r="E33" s="215">
        <f t="shared" si="8"/>
        <v>26.066170620000001</v>
      </c>
      <c r="F33" s="215">
        <f t="shared" si="8"/>
        <v>0</v>
      </c>
      <c r="G33" s="215">
        <f t="shared" si="8"/>
        <v>0</v>
      </c>
      <c r="H33" s="216">
        <f>SUM(C33:G33)</f>
        <v>1062.4037679360001</v>
      </c>
      <c r="I33" s="240">
        <f>+C33/C25</f>
        <v>2.2259999999999999E-4</v>
      </c>
      <c r="J33" s="361"/>
      <c r="T33" s="823"/>
      <c r="U33" s="823"/>
      <c r="V33" s="823"/>
    </row>
    <row r="34" spans="1:23" ht="12">
      <c r="A34" s="188" t="s">
        <v>204</v>
      </c>
      <c r="B34" s="206"/>
      <c r="C34" s="181">
        <f t="shared" si="8"/>
        <v>472.85117695199995</v>
      </c>
      <c r="D34" s="181">
        <f t="shared" si="8"/>
        <v>0</v>
      </c>
      <c r="E34" s="181">
        <f t="shared" si="8"/>
        <v>157.83215275199998</v>
      </c>
      <c r="F34" s="181">
        <f t="shared" si="8"/>
        <v>831.4634592000001</v>
      </c>
      <c r="G34" s="181">
        <f t="shared" si="8"/>
        <v>51.657019199999993</v>
      </c>
      <c r="H34" s="182">
        <f>SUM(C34:G34)</f>
        <v>1513.8038081039999</v>
      </c>
      <c r="I34" s="240">
        <f>+C34/C26</f>
        <v>1.884E-4</v>
      </c>
      <c r="J34" s="361"/>
      <c r="T34" s="823"/>
      <c r="U34" s="823"/>
      <c r="V34" s="823"/>
      <c r="W34" s="824"/>
    </row>
    <row r="35" spans="1:23" ht="12.6" thickBot="1">
      <c r="A35" s="209" t="s">
        <v>201</v>
      </c>
      <c r="B35" s="210"/>
      <c r="C35" s="217">
        <f t="shared" si="8"/>
        <v>256.07166782155002</v>
      </c>
      <c r="D35" s="217">
        <f t="shared" si="8"/>
        <v>0</v>
      </c>
      <c r="E35" s="217">
        <f t="shared" si="8"/>
        <v>7.4473619219999989</v>
      </c>
      <c r="F35" s="217">
        <f t="shared" si="8"/>
        <v>0</v>
      </c>
      <c r="G35" s="217">
        <f t="shared" si="8"/>
        <v>0</v>
      </c>
      <c r="H35" s="218">
        <f>SUM(C35:G35)</f>
        <v>263.51902974355005</v>
      </c>
      <c r="I35" s="240">
        <f t="shared" ref="I35" si="9">+C35/C27</f>
        <v>1.7347750000000001E-4</v>
      </c>
      <c r="J35" s="361"/>
      <c r="T35" s="823"/>
      <c r="U35" s="823"/>
      <c r="V35" s="823"/>
    </row>
    <row r="36" spans="1:23" ht="12.6" thickBot="1">
      <c r="A36" s="219" t="s">
        <v>211</v>
      </c>
      <c r="B36" s="214"/>
      <c r="C36" s="173"/>
      <c r="D36" s="173"/>
      <c r="E36" s="173"/>
      <c r="F36" s="173"/>
      <c r="G36" s="173"/>
      <c r="H36" s="201">
        <f>SUM(H37:H39)</f>
        <v>47930.240627209001</v>
      </c>
      <c r="I36" s="239"/>
      <c r="J36" s="359"/>
      <c r="T36" s="823"/>
      <c r="U36" s="823"/>
      <c r="V36" s="823"/>
    </row>
    <row r="37" spans="1:23" ht="12">
      <c r="A37" s="202" t="s">
        <v>205</v>
      </c>
      <c r="B37" s="203"/>
      <c r="C37" s="215">
        <f>+C29*M5/1000</f>
        <v>27206.07863589</v>
      </c>
      <c r="D37" s="215">
        <f>+D29*M8/1000</f>
        <v>2332.7933107500003</v>
      </c>
      <c r="E37" s="215">
        <f>+E29+M9/1000</f>
        <v>8197.0612999999994</v>
      </c>
      <c r="F37" s="215">
        <v>0</v>
      </c>
      <c r="G37" s="215">
        <v>0</v>
      </c>
      <c r="H37" s="216">
        <f>SUM(C37:G37)</f>
        <v>37735.933246640001</v>
      </c>
      <c r="I37" s="240">
        <f>+C37/C25</f>
        <v>5.9290000000000002E-3</v>
      </c>
      <c r="J37" s="361"/>
      <c r="T37" s="823"/>
      <c r="U37" s="823"/>
      <c r="V37" s="823"/>
    </row>
    <row r="38" spans="1:23" ht="12">
      <c r="A38" s="188" t="s">
        <v>204</v>
      </c>
      <c r="B38" s="206"/>
      <c r="C38" s="181">
        <f>+C30*M6/1000</f>
        <v>501.463190844</v>
      </c>
      <c r="D38" s="181">
        <v>0</v>
      </c>
      <c r="E38" s="181">
        <f>+E30*M10/1000</f>
        <v>371.96112432000001</v>
      </c>
      <c r="F38" s="181">
        <f>+F30*M11/1000</f>
        <v>2007.1633824000003</v>
      </c>
      <c r="G38" s="181">
        <f>+G30*M11/1000</f>
        <v>124.7007024</v>
      </c>
      <c r="H38" s="182">
        <f>SUM(C38:G38)</f>
        <v>3005.2883999640003</v>
      </c>
      <c r="I38" s="240">
        <f t="shared" ref="I38:I39" si="10">+C38/C26</f>
        <v>1.998E-4</v>
      </c>
      <c r="J38" s="361"/>
      <c r="T38" s="823"/>
      <c r="U38" s="823"/>
      <c r="V38" s="823"/>
    </row>
    <row r="39" spans="1:23" ht="12.6" thickBot="1">
      <c r="A39" s="209" t="s">
        <v>201</v>
      </c>
      <c r="B39" s="210"/>
      <c r="C39" s="217">
        <f>+C31*M7/1000</f>
        <v>7189.0189806050003</v>
      </c>
      <c r="D39" s="217">
        <v>0</v>
      </c>
      <c r="E39" s="217">
        <v>0</v>
      </c>
      <c r="F39" s="217">
        <v>0</v>
      </c>
      <c r="G39" s="217">
        <v>0</v>
      </c>
      <c r="H39" s="218">
        <f>SUM(C39:G39)</f>
        <v>7189.0189806050003</v>
      </c>
      <c r="I39" s="240">
        <f t="shared" si="10"/>
        <v>4.8702499999999996E-3</v>
      </c>
      <c r="J39" s="361"/>
      <c r="T39" s="823"/>
      <c r="U39" s="823"/>
      <c r="V39" s="823"/>
      <c r="W39" s="824"/>
    </row>
    <row r="40" spans="1:23" ht="10.8" thickBot="1">
      <c r="A40" s="219" t="s">
        <v>210</v>
      </c>
      <c r="B40" s="214"/>
      <c r="C40" s="173"/>
      <c r="D40" s="173"/>
      <c r="E40" s="173"/>
      <c r="F40" s="173"/>
      <c r="G40" s="173"/>
      <c r="H40" s="201">
        <f>SUM(H41:H43)</f>
        <v>16320.082489327</v>
      </c>
      <c r="I40" s="239"/>
      <c r="J40" s="359"/>
    </row>
    <row r="41" spans="1:23" ht="12">
      <c r="A41" s="202" t="s">
        <v>205</v>
      </c>
      <c r="B41" s="203"/>
      <c r="C41" s="215">
        <f>+C29*P5/1000</f>
        <v>2804.1212100510002</v>
      </c>
      <c r="D41" s="215">
        <f>+D29*P8/1000</f>
        <v>31.1226594</v>
      </c>
      <c r="E41" s="215">
        <f>+E29*P9/1000</f>
        <v>108.36313697999999</v>
      </c>
      <c r="F41" s="215">
        <v>0</v>
      </c>
      <c r="G41" s="215">
        <v>0</v>
      </c>
      <c r="H41" s="216">
        <f>SUM(C41:G41)</f>
        <v>2943.6070064310002</v>
      </c>
      <c r="I41" s="240">
        <f>+C41/C25</f>
        <v>6.1110000000000005E-4</v>
      </c>
      <c r="J41" s="361"/>
      <c r="T41" s="826"/>
      <c r="U41" s="826"/>
      <c r="V41" s="826"/>
    </row>
    <row r="42" spans="1:23" ht="12">
      <c r="A42" s="188" t="s">
        <v>204</v>
      </c>
      <c r="B42" s="206"/>
      <c r="C42" s="181">
        <f>+C30*P6/1000</f>
        <v>1951.640526528</v>
      </c>
      <c r="D42" s="181">
        <v>0</v>
      </c>
      <c r="E42" s="181">
        <f>+E30*P10/1000</f>
        <v>749.45140048799999</v>
      </c>
      <c r="F42" s="181">
        <f>+F30*P11/1000</f>
        <v>8836.2852335999996</v>
      </c>
      <c r="G42" s="181">
        <f>+G30*P11/1000</f>
        <v>548.97921359999987</v>
      </c>
      <c r="H42" s="182">
        <f>SUM(C42:G42)</f>
        <v>12086.356374216</v>
      </c>
      <c r="I42" s="240">
        <f t="shared" ref="I42:I43" si="11">+C42/C26</f>
        <v>7.7760000000000004E-4</v>
      </c>
      <c r="J42" s="361"/>
      <c r="T42" s="825"/>
      <c r="U42" s="825"/>
      <c r="V42" s="825"/>
    </row>
    <row r="43" spans="1:23" ht="12.6" thickBot="1">
      <c r="A43" s="209" t="s">
        <v>201</v>
      </c>
      <c r="B43" s="210"/>
      <c r="C43" s="217">
        <f>+C31*P7/1000</f>
        <v>1290.11910868</v>
      </c>
      <c r="D43" s="217">
        <v>0</v>
      </c>
      <c r="E43" s="217">
        <v>0</v>
      </c>
      <c r="F43" s="217">
        <v>0</v>
      </c>
      <c r="G43" s="217">
        <v>0</v>
      </c>
      <c r="H43" s="218">
        <f>SUM(C43:G43)</f>
        <v>1290.11910868</v>
      </c>
      <c r="I43" s="240">
        <f t="shared" si="11"/>
        <v>8.7399999999999989E-4</v>
      </c>
      <c r="J43" s="361"/>
      <c r="K43" s="103" t="s">
        <v>190</v>
      </c>
      <c r="T43" s="825"/>
      <c r="U43" s="825"/>
      <c r="V43" s="825"/>
    </row>
    <row r="44" spans="1:23" ht="14.4" thickBot="1">
      <c r="A44" s="219" t="s">
        <v>209</v>
      </c>
      <c r="B44" s="214"/>
      <c r="C44" s="173"/>
      <c r="D44" s="173"/>
      <c r="E44" s="173"/>
      <c r="F44" s="173"/>
      <c r="G44" s="173"/>
      <c r="H44" s="201">
        <f>SUM(H45:H47)</f>
        <v>213.57384528449998</v>
      </c>
      <c r="I44" s="239"/>
      <c r="J44" s="359"/>
      <c r="K44" s="523"/>
    </row>
    <row r="45" spans="1:23" ht="25.2">
      <c r="A45" s="202" t="s">
        <v>205</v>
      </c>
      <c r="B45" s="203"/>
      <c r="C45" s="220">
        <f>+C29*Q5/1000</f>
        <v>4.8180776804999992</v>
      </c>
      <c r="D45" s="220">
        <f>+D29*Q8/1000</f>
        <v>5.1558622500000002</v>
      </c>
      <c r="E45" s="220">
        <f>+E29*Q9/1000</f>
        <v>8.1969089999999994E-2</v>
      </c>
      <c r="F45" s="220">
        <v>0</v>
      </c>
      <c r="G45" s="220">
        <v>0</v>
      </c>
      <c r="H45" s="221">
        <f>SUM(C45:G45)</f>
        <v>10.055909020499998</v>
      </c>
      <c r="I45" s="240">
        <f>+C45/C25</f>
        <v>1.0499999999999997E-6</v>
      </c>
      <c r="J45" s="361"/>
      <c r="K45" s="703" t="s">
        <v>232</v>
      </c>
      <c r="L45" s="703" t="s">
        <v>236</v>
      </c>
      <c r="M45" s="703" t="s">
        <v>237</v>
      </c>
      <c r="N45" s="703" t="s">
        <v>449</v>
      </c>
      <c r="O45" s="703" t="s">
        <v>527</v>
      </c>
    </row>
    <row r="46" spans="1:23" ht="10.199999999999999">
      <c r="A46" s="188" t="s">
        <v>204</v>
      </c>
      <c r="B46" s="206"/>
      <c r="C46" s="222">
        <f>+C30*Q6/1000</f>
        <v>33.129700296000003</v>
      </c>
      <c r="D46" s="222">
        <v>0</v>
      </c>
      <c r="E46" s="222">
        <f>+E30*Q10/1000</f>
        <v>38.201412768000004</v>
      </c>
      <c r="F46" s="222">
        <f>+F30*Q11/1000</f>
        <v>124.4547216</v>
      </c>
      <c r="G46" s="222">
        <f>+G30*Q11/1000</f>
        <v>7.7321015999999991</v>
      </c>
      <c r="H46" s="223">
        <f>SUM(C46:G46)</f>
        <v>203.51793626399999</v>
      </c>
      <c r="I46" s="240">
        <f t="shared" ref="I46:I47" si="12">+C46/C26</f>
        <v>1.3200000000000002E-5</v>
      </c>
      <c r="J46" s="361"/>
      <c r="K46" s="763" t="s">
        <v>447</v>
      </c>
    </row>
    <row r="47" spans="1:23" ht="10.8" thickBot="1">
      <c r="A47" s="209" t="s">
        <v>201</v>
      </c>
      <c r="B47" s="210"/>
      <c r="C47" s="224">
        <f>+C31*Q7</f>
        <v>0</v>
      </c>
      <c r="D47" s="224">
        <v>0</v>
      </c>
      <c r="E47" s="224">
        <v>0</v>
      </c>
      <c r="F47" s="224">
        <v>0</v>
      </c>
      <c r="G47" s="224">
        <v>0</v>
      </c>
      <c r="H47" s="225">
        <f>SUM(C47:G47)</f>
        <v>0</v>
      </c>
      <c r="I47" s="240">
        <f t="shared" si="12"/>
        <v>0</v>
      </c>
      <c r="J47" s="361"/>
      <c r="K47" s="704" t="s">
        <v>205</v>
      </c>
      <c r="L47" s="765">
        <f>+'Transport - emisja'!H29</f>
        <v>334089.2352</v>
      </c>
      <c r="M47" s="766">
        <v>44.8</v>
      </c>
      <c r="N47" s="766">
        <f>+L47*M47/1000</f>
        <v>14967.197736959999</v>
      </c>
      <c r="O47" s="174">
        <f>N47/3.6</f>
        <v>4157.5549269333333</v>
      </c>
    </row>
    <row r="48" spans="1:23" ht="10.8" thickBot="1">
      <c r="A48" s="219" t="s">
        <v>208</v>
      </c>
      <c r="B48" s="214"/>
      <c r="C48" s="173"/>
      <c r="D48" s="173"/>
      <c r="E48" s="173"/>
      <c r="F48" s="173"/>
      <c r="G48" s="173"/>
      <c r="H48" s="201">
        <f>SUM(H49:H51)</f>
        <v>213.57384528449998</v>
      </c>
      <c r="I48" s="239"/>
      <c r="J48" s="359"/>
      <c r="K48" s="704" t="s">
        <v>204</v>
      </c>
      <c r="L48" s="765">
        <f>+'Transport - emisja'!H30</f>
        <v>482103.12360000005</v>
      </c>
      <c r="M48" s="766">
        <v>43.33</v>
      </c>
      <c r="N48" s="766">
        <f t="shared" ref="N48:N49" si="13">+L48*M48/1000</f>
        <v>20889.528345588002</v>
      </c>
      <c r="O48" s="174">
        <f t="shared" ref="O48:O49" si="14">N48/3.6</f>
        <v>5802.6467626633339</v>
      </c>
    </row>
    <row r="49" spans="1:17" ht="10.199999999999999">
      <c r="A49" s="202" t="s">
        <v>205</v>
      </c>
      <c r="B49" s="203"/>
      <c r="C49" s="226">
        <f t="shared" ref="C49:G51" si="15">C45</f>
        <v>4.8180776804999992</v>
      </c>
      <c r="D49" s="226">
        <f t="shared" si="15"/>
        <v>5.1558622500000002</v>
      </c>
      <c r="E49" s="226">
        <f t="shared" si="15"/>
        <v>8.1969089999999994E-2</v>
      </c>
      <c r="F49" s="226">
        <f t="shared" si="15"/>
        <v>0</v>
      </c>
      <c r="G49" s="226">
        <f t="shared" si="15"/>
        <v>0</v>
      </c>
      <c r="H49" s="227">
        <f>SUM(C49:G49)</f>
        <v>10.055909020499998</v>
      </c>
      <c r="I49" s="240">
        <f>+C49/C25</f>
        <v>1.0499999999999997E-6</v>
      </c>
      <c r="J49" s="361"/>
      <c r="K49" s="705" t="s">
        <v>201</v>
      </c>
      <c r="L49" s="765">
        <f>+'Transport - emisja'!H31</f>
        <v>87344.723150000005</v>
      </c>
      <c r="M49" s="766">
        <v>45.95</v>
      </c>
      <c r="N49" s="766">
        <f t="shared" si="13"/>
        <v>4013.4900287425007</v>
      </c>
      <c r="O49" s="174">
        <f t="shared" si="14"/>
        <v>1114.8583413173612</v>
      </c>
    </row>
    <row r="50" spans="1:17" ht="10.199999999999999">
      <c r="A50" s="188" t="s">
        <v>204</v>
      </c>
      <c r="B50" s="206"/>
      <c r="C50" s="228">
        <f t="shared" si="15"/>
        <v>33.129700296000003</v>
      </c>
      <c r="D50" s="228">
        <f t="shared" si="15"/>
        <v>0</v>
      </c>
      <c r="E50" s="228">
        <f t="shared" si="15"/>
        <v>38.201412768000004</v>
      </c>
      <c r="F50" s="228">
        <f t="shared" si="15"/>
        <v>124.4547216</v>
      </c>
      <c r="G50" s="228">
        <f t="shared" si="15"/>
        <v>7.7321015999999991</v>
      </c>
      <c r="H50" s="229">
        <f>SUM(C50:G50)</f>
        <v>203.51793626399999</v>
      </c>
      <c r="I50" s="240">
        <f t="shared" ref="I50:I51" si="16">+C50/C26</f>
        <v>1.3200000000000002E-5</v>
      </c>
      <c r="J50" s="361"/>
      <c r="K50" s="704" t="s">
        <v>228</v>
      </c>
      <c r="L50" s="765">
        <f>SUM(L47:L49)</f>
        <v>903537.08195000002</v>
      </c>
      <c r="M50" s="766"/>
      <c r="N50" s="766">
        <f>SUM(N47:N49)</f>
        <v>39870.216111290501</v>
      </c>
      <c r="O50" s="174">
        <f>N50/3.6</f>
        <v>11075.060030914028</v>
      </c>
    </row>
    <row r="51" spans="1:17" ht="10.8" thickBot="1">
      <c r="A51" s="209" t="s">
        <v>201</v>
      </c>
      <c r="B51" s="210"/>
      <c r="C51" s="230">
        <f t="shared" si="15"/>
        <v>0</v>
      </c>
      <c r="D51" s="230">
        <f t="shared" si="15"/>
        <v>0</v>
      </c>
      <c r="E51" s="230">
        <f t="shared" si="15"/>
        <v>0</v>
      </c>
      <c r="F51" s="230">
        <f t="shared" si="15"/>
        <v>0</v>
      </c>
      <c r="G51" s="230">
        <f t="shared" si="15"/>
        <v>0</v>
      </c>
      <c r="H51" s="231">
        <f>SUM(C51:G51)</f>
        <v>0</v>
      </c>
      <c r="I51" s="240">
        <f t="shared" si="16"/>
        <v>0</v>
      </c>
      <c r="J51" s="361"/>
      <c r="K51" s="763" t="s">
        <v>448</v>
      </c>
      <c r="L51" s="702"/>
      <c r="M51" s="702"/>
      <c r="N51" s="702"/>
      <c r="O51" s="702"/>
    </row>
    <row r="52" spans="1:17" ht="10.8" thickBot="1">
      <c r="A52" s="219" t="s">
        <v>207</v>
      </c>
      <c r="B52" s="214"/>
      <c r="C52" s="173"/>
      <c r="D52" s="173"/>
      <c r="E52" s="173"/>
      <c r="F52" s="173"/>
      <c r="G52" s="173"/>
      <c r="H52" s="201">
        <f>SUM(H53:H55)</f>
        <v>7.3085740140399986</v>
      </c>
      <c r="I52" s="239"/>
      <c r="J52" s="359"/>
      <c r="K52" s="704" t="s">
        <v>205</v>
      </c>
      <c r="L52" s="765">
        <f>D64</f>
        <v>0</v>
      </c>
      <c r="M52" s="766">
        <v>44.8</v>
      </c>
      <c r="N52" s="766">
        <f>+L52*M52/1000</f>
        <v>0</v>
      </c>
      <c r="O52" s="174">
        <f>N52/3.6</f>
        <v>0</v>
      </c>
    </row>
    <row r="53" spans="1:17" ht="10.199999999999999">
      <c r="A53" s="202" t="s">
        <v>205</v>
      </c>
      <c r="B53" s="203"/>
      <c r="C53" s="226">
        <f>+C29*S5</f>
        <v>1.7666284828499998</v>
      </c>
      <c r="D53" s="226">
        <f>+D29*S8</f>
        <v>3.9372038999999998E-2</v>
      </c>
      <c r="E53" s="226">
        <f>+E29*S9</f>
        <v>3.4427017799999994E-2</v>
      </c>
      <c r="F53" s="226">
        <v>0</v>
      </c>
      <c r="G53" s="226">
        <v>0</v>
      </c>
      <c r="H53" s="227">
        <f>SUM(C53:G53)</f>
        <v>1.8404275396499998</v>
      </c>
      <c r="I53" s="240">
        <f>+C53/C25</f>
        <v>3.8499999999999997E-7</v>
      </c>
      <c r="J53" s="361"/>
      <c r="K53" s="704" t="s">
        <v>204</v>
      </c>
      <c r="L53" s="765">
        <f>D65</f>
        <v>7930.6333999999997</v>
      </c>
      <c r="M53" s="766">
        <v>43.33</v>
      </c>
      <c r="N53" s="766">
        <f t="shared" ref="N53:N54" si="17">+L53*M53/1000</f>
        <v>343.63434522199998</v>
      </c>
      <c r="O53" s="174">
        <f t="shared" ref="O53:O54" si="18">N53/3.6</f>
        <v>95.453984783888885</v>
      </c>
    </row>
    <row r="54" spans="1:17" ht="10.199999999999999">
      <c r="A54" s="188" t="s">
        <v>204</v>
      </c>
      <c r="B54" s="206"/>
      <c r="C54" s="228">
        <f>+C30*S6</f>
        <v>3.2226163015199996</v>
      </c>
      <c r="D54" s="228">
        <v>0</v>
      </c>
      <c r="E54" s="228">
        <f>+E30*S10</f>
        <v>0.79418726544000007</v>
      </c>
      <c r="F54" s="228">
        <f>+F30*S11</f>
        <v>1.3504661280000003</v>
      </c>
      <c r="G54" s="228">
        <f>+G30*S11</f>
        <v>8.3901528000000003E-2</v>
      </c>
      <c r="H54" s="229">
        <f>SUM(C54:G54)</f>
        <v>5.4511712229599993</v>
      </c>
      <c r="I54" s="240">
        <f t="shared" ref="I54:I55" si="19">+C54/C26</f>
        <v>1.2839999999999999E-6</v>
      </c>
      <c r="J54" s="361"/>
      <c r="K54" s="705" t="s">
        <v>201</v>
      </c>
      <c r="L54" s="765"/>
      <c r="M54" s="766">
        <v>45.95</v>
      </c>
      <c r="N54" s="766">
        <f t="shared" si="17"/>
        <v>0</v>
      </c>
      <c r="O54" s="174">
        <f t="shared" si="18"/>
        <v>0</v>
      </c>
    </row>
    <row r="55" spans="1:17" ht="10.8" thickBot="1">
      <c r="A55" s="209" t="s">
        <v>201</v>
      </c>
      <c r="B55" s="210"/>
      <c r="C55" s="230">
        <f>+C31*S7</f>
        <v>1.6975251430000001E-2</v>
      </c>
      <c r="D55" s="230">
        <v>0</v>
      </c>
      <c r="E55" s="230">
        <v>0</v>
      </c>
      <c r="F55" s="230">
        <v>0</v>
      </c>
      <c r="G55" s="230">
        <v>0</v>
      </c>
      <c r="H55" s="231">
        <f>SUM(C55:G55)</f>
        <v>1.6975251430000001E-2</v>
      </c>
      <c r="I55" s="240">
        <f t="shared" si="19"/>
        <v>1.15E-8</v>
      </c>
      <c r="J55" s="361"/>
      <c r="K55" s="704" t="s">
        <v>228</v>
      </c>
      <c r="L55" s="765">
        <f>SUM(L52:L54)</f>
        <v>7930.6333999999997</v>
      </c>
      <c r="M55" s="766"/>
      <c r="N55" s="766">
        <f>SUM(N52:N54)</f>
        <v>343.63434522199998</v>
      </c>
      <c r="O55" s="174">
        <f>N55/3.6</f>
        <v>95.453984783888885</v>
      </c>
    </row>
    <row r="56" spans="1:17" ht="10.8" thickBot="1">
      <c r="A56" s="219" t="s">
        <v>206</v>
      </c>
      <c r="B56" s="214"/>
      <c r="C56" s="173"/>
      <c r="D56" s="173"/>
      <c r="E56" s="173"/>
      <c r="F56" s="173"/>
      <c r="G56" s="173"/>
      <c r="H56" s="201">
        <f>SUM(H57:H59)</f>
        <v>17.2203943968</v>
      </c>
      <c r="I56" s="239"/>
      <c r="J56" s="359"/>
      <c r="L56" s="173"/>
      <c r="M56" s="767" t="s">
        <v>526</v>
      </c>
      <c r="N56" s="766">
        <f>N55+N50</f>
        <v>40213.850456512504</v>
      </c>
      <c r="O56" s="174">
        <f>O55+O50</f>
        <v>11170.514015697918</v>
      </c>
    </row>
    <row r="57" spans="1:17" ht="10.199999999999999">
      <c r="A57" s="202" t="s">
        <v>205</v>
      </c>
      <c r="B57" s="203"/>
      <c r="C57" s="226">
        <f t="shared" ref="C57:G59" si="20">+C29*$O5/1000</f>
        <v>12.848207148</v>
      </c>
      <c r="D57" s="226">
        <f t="shared" si="20"/>
        <v>0.18748590000000001</v>
      </c>
      <c r="E57" s="226">
        <f t="shared" si="20"/>
        <v>0.32787635999999998</v>
      </c>
      <c r="F57" s="226">
        <f t="shared" si="20"/>
        <v>0</v>
      </c>
      <c r="G57" s="226">
        <f t="shared" si="20"/>
        <v>0</v>
      </c>
      <c r="H57" s="227">
        <f>SUM(C57:G57)</f>
        <v>13.363569408</v>
      </c>
      <c r="I57" s="240">
        <f>+C57/C25</f>
        <v>2.7999999999999999E-6</v>
      </c>
      <c r="J57" s="361"/>
      <c r="L57" s="129"/>
      <c r="M57" s="129"/>
    </row>
    <row r="58" spans="1:17" ht="10.199999999999999">
      <c r="A58" s="188" t="s">
        <v>204</v>
      </c>
      <c r="B58" s="206"/>
      <c r="C58" s="228">
        <f t="shared" si="20"/>
        <v>1.2047163744</v>
      </c>
      <c r="D58" s="228">
        <f t="shared" si="20"/>
        <v>0</v>
      </c>
      <c r="E58" s="228">
        <f t="shared" si="20"/>
        <v>0.4021201344</v>
      </c>
      <c r="F58" s="228">
        <f t="shared" si="20"/>
        <v>2.1183782400000006</v>
      </c>
      <c r="G58" s="228">
        <f t="shared" si="20"/>
        <v>0.13161024000000002</v>
      </c>
      <c r="H58" s="229">
        <f>SUM(C58:G58)</f>
        <v>3.856824988800001</v>
      </c>
      <c r="I58" s="240">
        <f t="shared" ref="I58:I59" si="21">+C58/C26</f>
        <v>4.8000000000000006E-7</v>
      </c>
      <c r="J58" s="361"/>
      <c r="K58" s="886" t="s">
        <v>616</v>
      </c>
      <c r="L58" s="886"/>
      <c r="M58" s="886"/>
    </row>
    <row r="59" spans="1:17" ht="10.8" thickBot="1">
      <c r="A59" s="209" t="s">
        <v>201</v>
      </c>
      <c r="B59" s="210"/>
      <c r="C59" s="230">
        <f t="shared" si="20"/>
        <v>0</v>
      </c>
      <c r="D59" s="230">
        <f t="shared" si="20"/>
        <v>0</v>
      </c>
      <c r="E59" s="230">
        <f t="shared" si="20"/>
        <v>0</v>
      </c>
      <c r="F59" s="230">
        <f t="shared" si="20"/>
        <v>0</v>
      </c>
      <c r="G59" s="230">
        <f t="shared" si="20"/>
        <v>0</v>
      </c>
      <c r="H59" s="231">
        <f>SUM(C59:G59)</f>
        <v>0</v>
      </c>
      <c r="I59" s="241">
        <f t="shared" si="21"/>
        <v>0</v>
      </c>
      <c r="J59" s="361"/>
      <c r="K59" s="703" t="s">
        <v>232</v>
      </c>
      <c r="L59" s="703" t="s">
        <v>219</v>
      </c>
      <c r="M59" s="703" t="s">
        <v>617</v>
      </c>
    </row>
    <row r="60" spans="1:17">
      <c r="A60" s="129"/>
      <c r="B60" s="129"/>
      <c r="C60" s="129"/>
      <c r="D60" s="129"/>
      <c r="E60" s="129"/>
      <c r="K60" s="130" t="s">
        <v>216</v>
      </c>
      <c r="L60" s="876">
        <v>0.53514520903939666</v>
      </c>
      <c r="M60" s="876">
        <v>0.11239881681270972</v>
      </c>
      <c r="N60" s="875"/>
      <c r="Q60" s="875"/>
    </row>
    <row r="61" spans="1:17" ht="13.2">
      <c r="A61" s="701" t="s">
        <v>448</v>
      </c>
      <c r="B61" s="129"/>
      <c r="C61" s="129"/>
      <c r="D61" s="129"/>
      <c r="E61" s="140"/>
      <c r="F61" s="141"/>
      <c r="G61" s="141"/>
      <c r="H61" s="141"/>
      <c r="I61" s="141"/>
      <c r="J61" s="362"/>
      <c r="K61" s="130" t="s">
        <v>215</v>
      </c>
      <c r="L61" s="876">
        <v>0.29270538907717242</v>
      </c>
      <c r="M61" s="876">
        <v>0.86156390642642455</v>
      </c>
      <c r="N61" s="875"/>
      <c r="Q61" s="875"/>
    </row>
    <row r="62" spans="1:17" ht="9" thickBot="1">
      <c r="K62" s="130" t="s">
        <v>201</v>
      </c>
      <c r="L62" s="876">
        <v>0.17214940188343089</v>
      </c>
      <c r="M62" s="876">
        <v>2.6037276760865761E-2</v>
      </c>
      <c r="N62" s="875"/>
      <c r="Q62" s="875"/>
    </row>
    <row r="63" spans="1:17" ht="10.199999999999999">
      <c r="A63" s="714" t="s">
        <v>560</v>
      </c>
      <c r="B63" s="130"/>
      <c r="C63" s="123" t="s">
        <v>453</v>
      </c>
      <c r="D63" s="123" t="s">
        <v>452</v>
      </c>
      <c r="K63" s="706" t="s">
        <v>217</v>
      </c>
      <c r="L63" s="130"/>
      <c r="M63" s="130"/>
    </row>
    <row r="64" spans="1:17" ht="10.199999999999999">
      <c r="A64" s="713" t="s">
        <v>205</v>
      </c>
      <c r="B64" s="130"/>
      <c r="C64" s="189">
        <v>0</v>
      </c>
      <c r="D64" s="130">
        <f>C64*L65/1000</f>
        <v>0</v>
      </c>
      <c r="K64" s="130"/>
      <c r="L64" s="131" t="s">
        <v>238</v>
      </c>
      <c r="M64" s="707" t="s">
        <v>239</v>
      </c>
    </row>
    <row r="65" spans="1:18" ht="10.199999999999999">
      <c r="A65" s="713" t="s">
        <v>204</v>
      </c>
      <c r="B65" s="130"/>
      <c r="C65" s="189">
        <f>4890+3388+1276.98</f>
        <v>9554.98</v>
      </c>
      <c r="D65" s="189">
        <f>C65*L66/1000</f>
        <v>7930.6333999999997</v>
      </c>
      <c r="K65" s="130" t="s">
        <v>216</v>
      </c>
      <c r="L65" s="131">
        <v>750</v>
      </c>
      <c r="M65" s="130"/>
    </row>
    <row r="66" spans="1:18" ht="10.199999999999999">
      <c r="A66" s="176" t="s">
        <v>201</v>
      </c>
      <c r="B66" s="130"/>
      <c r="C66" s="174">
        <v>0</v>
      </c>
      <c r="D66" s="130">
        <v>0</v>
      </c>
      <c r="K66" s="130" t="s">
        <v>215</v>
      </c>
      <c r="L66" s="131">
        <v>830</v>
      </c>
      <c r="M66" s="130"/>
    </row>
    <row r="67" spans="1:18">
      <c r="K67" s="130" t="s">
        <v>201</v>
      </c>
      <c r="L67" s="131">
        <v>544</v>
      </c>
      <c r="M67" s="130"/>
      <c r="N67" s="363">
        <f>'Łączna emisja'!F10</f>
        <v>7.3085740140399983E-6</v>
      </c>
      <c r="O67" s="363">
        <f>'Łączna emisja'!G10</f>
        <v>1.7220394396799999E-2</v>
      </c>
      <c r="P67" s="363">
        <f>'Łączna emisja'!H10</f>
        <v>16.320082489327</v>
      </c>
      <c r="Q67" s="363">
        <f>'Łączna emisja'!I10</f>
        <v>47.930240627209002</v>
      </c>
      <c r="R67" s="363"/>
    </row>
    <row r="70" spans="1:18">
      <c r="A70" s="129"/>
      <c r="B70" s="129"/>
      <c r="C70" s="129"/>
      <c r="D70" s="129"/>
      <c r="E70" s="129"/>
    </row>
    <row r="71" spans="1:18">
      <c r="A71" s="129"/>
      <c r="B71" s="129"/>
      <c r="C71" s="129"/>
      <c r="D71" s="129"/>
      <c r="E71" s="129"/>
    </row>
    <row r="72" spans="1:18">
      <c r="A72" s="129"/>
      <c r="B72" s="129"/>
      <c r="C72" s="129"/>
      <c r="D72" s="129"/>
      <c r="E72" s="129"/>
    </row>
    <row r="73" spans="1:18">
      <c r="A73" s="129"/>
      <c r="B73" s="129"/>
      <c r="C73" s="129"/>
      <c r="D73" s="129"/>
      <c r="E73" s="129"/>
    </row>
  </sheetData>
  <mergeCells count="7">
    <mergeCell ref="K16:K18"/>
    <mergeCell ref="L16:R16"/>
    <mergeCell ref="L18:R18"/>
    <mergeCell ref="K5:K7"/>
    <mergeCell ref="M3:S3"/>
    <mergeCell ref="K3:K4"/>
    <mergeCell ref="L3:L4"/>
  </mergeCells>
  <pageMargins left="0.7" right="0.7" top="0.75" bottom="0.75" header="0.3" footer="0.3"/>
  <pageSetup paperSize="9" scale="94" orientation="portrait" r:id="rId1"/>
  <colBreaks count="1" manualBreakCount="1">
    <brk id="8" max="67"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800"/>
  </sheetPr>
  <dimension ref="A1:AC13"/>
  <sheetViews>
    <sheetView view="pageBreakPreview" zoomScale="85" zoomScaleNormal="85" zoomScaleSheetLayoutView="85" workbookViewId="0">
      <pane ySplit="2" topLeftCell="A3" activePane="bottomLeft" state="frozen"/>
      <selection pane="bottomLeft" activeCell="C2" sqref="C2:C13"/>
    </sheetView>
  </sheetViews>
  <sheetFormatPr defaultRowHeight="13.8"/>
  <cols>
    <col min="1" max="1" width="40.09765625" customWidth="1"/>
    <col min="2" max="3" width="11.8984375" customWidth="1"/>
    <col min="4" max="4" width="14.5" customWidth="1"/>
  </cols>
  <sheetData>
    <row r="1" spans="1:29">
      <c r="A1" s="1199" t="s">
        <v>242</v>
      </c>
      <c r="B1" s="1199"/>
      <c r="C1" s="1199"/>
      <c r="D1" s="1199"/>
      <c r="E1" s="1063"/>
      <c r="F1" s="1063"/>
      <c r="G1" s="1063"/>
      <c r="H1" s="1063"/>
      <c r="I1" s="1063"/>
      <c r="J1" s="1063"/>
      <c r="K1" s="1063"/>
      <c r="L1" s="1063"/>
      <c r="M1" s="1063"/>
      <c r="N1" s="1063"/>
      <c r="O1" s="1063"/>
      <c r="P1" s="1063"/>
      <c r="Q1" s="1063"/>
      <c r="R1" s="1063"/>
      <c r="S1" s="1063"/>
      <c r="T1" s="1063"/>
      <c r="U1" s="1063"/>
      <c r="V1" s="1063"/>
      <c r="W1" s="1063"/>
      <c r="X1" s="1063"/>
      <c r="Y1" s="1063"/>
      <c r="Z1" s="1063"/>
      <c r="AA1" s="1063"/>
      <c r="AB1" s="1063"/>
      <c r="AC1" s="1063"/>
    </row>
    <row r="2" spans="1:29" ht="41.4">
      <c r="A2" s="147" t="s">
        <v>136</v>
      </c>
      <c r="B2" s="147" t="s">
        <v>404</v>
      </c>
      <c r="C2" s="897" t="s">
        <v>659</v>
      </c>
      <c r="D2" s="147" t="s">
        <v>137</v>
      </c>
    </row>
    <row r="3" spans="1:29" ht="14.4">
      <c r="A3" s="143" t="s">
        <v>387</v>
      </c>
      <c r="B3" s="144">
        <f>'Mieszkalne - emisja'!AH13</f>
        <v>81196.961570980711</v>
      </c>
      <c r="C3" s="144">
        <f>B3/3.6</f>
        <v>22554.71154749464</v>
      </c>
      <c r="D3" s="145">
        <f t="shared" ref="D3:D12" si="0">B3/$B$13</f>
        <v>0.57303907897667561</v>
      </c>
      <c r="G3" s="245"/>
    </row>
    <row r="4" spans="1:29" ht="14.4">
      <c r="A4" s="143" t="s">
        <v>241</v>
      </c>
      <c r="B4" s="144">
        <f>'Budynki komunalne - emisja'!P14</f>
        <v>5742.0970296124997</v>
      </c>
      <c r="C4" s="144">
        <f t="shared" ref="C4:C13" si="1">B4/3.6</f>
        <v>1595.0269526701388</v>
      </c>
      <c r="D4" s="145">
        <f t="shared" si="0"/>
        <v>4.0524250286969314E-2</v>
      </c>
      <c r="F4" s="827"/>
    </row>
    <row r="5" spans="1:29" ht="14.4" hidden="1">
      <c r="A5" s="143" t="s">
        <v>388</v>
      </c>
      <c r="B5" s="144">
        <f>'Mieszk. wielorodz. - emisja'!AM13</f>
        <v>0</v>
      </c>
      <c r="C5" s="144">
        <f t="shared" si="1"/>
        <v>0</v>
      </c>
      <c r="D5" s="145">
        <f t="shared" si="0"/>
        <v>0</v>
      </c>
    </row>
    <row r="6" spans="1:29" ht="14.4">
      <c r="A6" s="143" t="s">
        <v>139</v>
      </c>
      <c r="B6" s="144">
        <f>'Oświetlenie uliczne'!A4*3.6</f>
        <v>777.83039999999994</v>
      </c>
      <c r="C6" s="144">
        <f t="shared" si="1"/>
        <v>216.06399999999996</v>
      </c>
      <c r="D6" s="145">
        <f t="shared" si="0"/>
        <v>5.4894568391751159E-3</v>
      </c>
    </row>
    <row r="7" spans="1:29" ht="14.4">
      <c r="A7" s="143" t="s">
        <v>140</v>
      </c>
      <c r="B7" s="144">
        <f>'Transport - emisja'!N50+'Transport - emisja'!N55</f>
        <v>40213.850456512504</v>
      </c>
      <c r="C7" s="144">
        <f t="shared" si="1"/>
        <v>11170.514015697918</v>
      </c>
      <c r="D7" s="145">
        <f t="shared" si="0"/>
        <v>0.28380505109863019</v>
      </c>
      <c r="E7" s="827"/>
    </row>
    <row r="8" spans="1:29" ht="24">
      <c r="A8" s="143" t="s">
        <v>561</v>
      </c>
      <c r="B8" s="144">
        <f>'Mieszkalne - emisja'!Q13*3.6</f>
        <v>10645.752672000001</v>
      </c>
      <c r="C8" s="144">
        <f t="shared" si="1"/>
        <v>2957.1535200000003</v>
      </c>
      <c r="D8" s="145">
        <f t="shared" si="0"/>
        <v>7.5131288020469728E-2</v>
      </c>
      <c r="F8" s="827"/>
    </row>
    <row r="9" spans="1:29" ht="24" hidden="1">
      <c r="A9" s="143" t="s">
        <v>568</v>
      </c>
      <c r="B9" s="144">
        <f>'Mieszk. wielorodz. - emisja'!M6*3.6</f>
        <v>0</v>
      </c>
      <c r="C9" s="144">
        <f t="shared" si="1"/>
        <v>0</v>
      </c>
      <c r="D9" s="145">
        <f t="shared" si="0"/>
        <v>0</v>
      </c>
    </row>
    <row r="10" spans="1:29" ht="24">
      <c r="A10" s="143" t="s">
        <v>284</v>
      </c>
      <c r="B10" s="144">
        <f>'Budynki komunalne - emisja'!Q14*3.6</f>
        <v>651.9319999999999</v>
      </c>
      <c r="C10" s="144">
        <f t="shared" si="1"/>
        <v>181.0922222222222</v>
      </c>
      <c r="D10" s="145">
        <f t="shared" si="0"/>
        <v>4.6009420255072458E-3</v>
      </c>
      <c r="F10" s="827"/>
    </row>
    <row r="11" spans="1:29" ht="14.4">
      <c r="A11" s="887" t="s">
        <v>243</v>
      </c>
      <c r="B11" s="144">
        <f>'Budynki usł.-użytk. - emisja'!AH12</f>
        <v>2466.9061718939884</v>
      </c>
      <c r="C11" s="144">
        <f t="shared" si="1"/>
        <v>685.25171441499674</v>
      </c>
      <c r="D11" s="145">
        <f t="shared" si="0"/>
        <v>1.7409932752572747E-2</v>
      </c>
    </row>
    <row r="12" spans="1:29" ht="14.4" hidden="1">
      <c r="A12" s="887" t="s">
        <v>290</v>
      </c>
      <c r="B12" s="144">
        <f>'Budynki usł.-użytk. - emisja'!Q6*3.6</f>
        <v>0</v>
      </c>
      <c r="C12" s="144">
        <f t="shared" si="1"/>
        <v>0</v>
      </c>
      <c r="D12" s="145">
        <f t="shared" si="0"/>
        <v>0</v>
      </c>
    </row>
    <row r="13" spans="1:29" ht="14.4">
      <c r="A13" s="143" t="s">
        <v>138</v>
      </c>
      <c r="B13" s="144">
        <f>SUM(B3:B12)</f>
        <v>141695.33030099972</v>
      </c>
      <c r="C13" s="144">
        <f t="shared" si="1"/>
        <v>39359.81397249992</v>
      </c>
      <c r="D13" s="146">
        <f>SUM(D3:D12)</f>
        <v>0.99999999999999989</v>
      </c>
    </row>
  </sheetData>
  <mergeCells count="1">
    <mergeCell ref="A1:AC1"/>
  </mergeCells>
  <pageMargins left="0.7" right="0.7" top="0.75" bottom="0.75" header="0.3" footer="0.3"/>
  <pageSetup paperSize="9" scale="9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41E396"/>
  </sheetPr>
  <dimension ref="A1:AF29"/>
  <sheetViews>
    <sheetView view="pageBreakPreview" zoomScale="85" zoomScaleNormal="100" zoomScaleSheetLayoutView="85" workbookViewId="0">
      <pane ySplit="3" topLeftCell="A4" activePane="bottomLeft" state="frozen"/>
      <selection pane="bottomLeft" activeCell="P20" sqref="P20"/>
    </sheetView>
  </sheetViews>
  <sheetFormatPr defaultRowHeight="13.8"/>
  <cols>
    <col min="1" max="1" width="10.8984375" customWidth="1"/>
    <col min="2" max="2" width="10" hidden="1" customWidth="1"/>
    <col min="3" max="4" width="8.5" customWidth="1"/>
    <col min="5" max="5" width="9" customWidth="1"/>
    <col min="6" max="6" width="9.3984375" customWidth="1"/>
    <col min="7" max="7" width="7.8984375" customWidth="1"/>
    <col min="8" max="8" width="9" customWidth="1"/>
    <col min="9" max="9" width="9" hidden="1" customWidth="1"/>
    <col min="10" max="10" width="9.19921875" customWidth="1"/>
    <col min="11" max="11" width="9.3984375" customWidth="1"/>
    <col min="12" max="12" width="9.3984375" hidden="1" customWidth="1"/>
    <col min="13" max="14" width="7.8984375" customWidth="1"/>
    <col min="15" max="19" width="9" style="364"/>
    <col min="23" max="23" width="9" hidden="1" customWidth="1"/>
  </cols>
  <sheetData>
    <row r="1" spans="1:32" ht="14.4" thickBot="1">
      <c r="A1" s="1199" t="s">
        <v>246</v>
      </c>
      <c r="B1" s="1199"/>
      <c r="C1" s="1199"/>
      <c r="D1" s="1199"/>
      <c r="E1" s="1199"/>
      <c r="F1" s="1199"/>
      <c r="G1" s="1199"/>
      <c r="H1" s="1199"/>
      <c r="I1" s="1199"/>
      <c r="J1" s="1199"/>
      <c r="K1" s="1199"/>
      <c r="L1" s="1199"/>
      <c r="M1" s="1199"/>
      <c r="N1" s="1199"/>
      <c r="O1" s="1063"/>
      <c r="P1" s="1063"/>
      <c r="Q1" s="1063"/>
      <c r="R1" s="1063"/>
      <c r="S1" s="1063"/>
      <c r="T1" s="1063"/>
      <c r="U1" s="1063"/>
      <c r="V1" s="1063"/>
      <c r="W1" s="1063"/>
      <c r="X1" s="1063"/>
      <c r="Y1" s="1063"/>
      <c r="Z1" s="1063"/>
      <c r="AA1" s="1063"/>
      <c r="AB1" s="1063"/>
      <c r="AC1" s="1063"/>
      <c r="AD1" s="1063"/>
      <c r="AE1" s="1063"/>
      <c r="AF1" s="1063"/>
    </row>
    <row r="2" spans="1:32">
      <c r="A2" s="1200" t="s">
        <v>143</v>
      </c>
      <c r="B2" s="148"/>
      <c r="C2" s="1202" t="s">
        <v>393</v>
      </c>
      <c r="D2" s="1203"/>
      <c r="E2" s="1203"/>
      <c r="F2" s="1203"/>
      <c r="G2" s="1203"/>
      <c r="H2" s="1203"/>
      <c r="I2" s="1203"/>
      <c r="J2" s="1203"/>
      <c r="K2" s="1203"/>
      <c r="L2" s="1203"/>
      <c r="M2" s="1203"/>
      <c r="N2" s="1204"/>
    </row>
    <row r="3" spans="1:32" ht="84">
      <c r="A3" s="1201"/>
      <c r="B3" s="150" t="s">
        <v>141</v>
      </c>
      <c r="C3" s="151" t="s">
        <v>387</v>
      </c>
      <c r="D3" s="151" t="s">
        <v>388</v>
      </c>
      <c r="E3" s="149" t="s">
        <v>241</v>
      </c>
      <c r="F3" s="151" t="s">
        <v>139</v>
      </c>
      <c r="G3" s="151" t="s">
        <v>140</v>
      </c>
      <c r="H3" s="151" t="s">
        <v>525</v>
      </c>
      <c r="I3" s="151" t="s">
        <v>524</v>
      </c>
      <c r="J3" s="149" t="s">
        <v>240</v>
      </c>
      <c r="K3" s="149" t="s">
        <v>243</v>
      </c>
      <c r="L3" s="149" t="s">
        <v>289</v>
      </c>
      <c r="M3" s="492" t="s">
        <v>138</v>
      </c>
      <c r="N3" s="153" t="s">
        <v>359</v>
      </c>
    </row>
    <row r="4" spans="1:32" ht="14.4">
      <c r="A4" s="154" t="s">
        <v>8</v>
      </c>
      <c r="B4" s="152"/>
      <c r="C4" s="70">
        <f>'Mieszkalne - emisja'!AH5</f>
        <v>62314.189263906759</v>
      </c>
      <c r="D4" s="70">
        <f>'Mieszk. wielorodz. - emisja'!AM5</f>
        <v>0</v>
      </c>
      <c r="E4" s="70">
        <f>'Budynki komunalne - emisja'!P6</f>
        <v>2211.9444282250001</v>
      </c>
      <c r="F4" s="70">
        <v>0</v>
      </c>
      <c r="G4" s="70">
        <v>0</v>
      </c>
      <c r="H4" s="70">
        <v>0</v>
      </c>
      <c r="I4" s="70">
        <v>0</v>
      </c>
      <c r="J4" s="70">
        <v>0</v>
      </c>
      <c r="K4" s="70">
        <f>'Budynki usł.-użytk. - emisja'!P6</f>
        <v>1973.5249375151907</v>
      </c>
      <c r="L4" s="70">
        <v>0</v>
      </c>
      <c r="M4" s="70">
        <f>SUM(C4:L4)</f>
        <v>66499.658629646947</v>
      </c>
      <c r="N4" s="493">
        <f>M4/$M$13</f>
        <v>0.46931439792958207</v>
      </c>
      <c r="O4" s="365">
        <f>C4+E4+K4</f>
        <v>66499.658629646947</v>
      </c>
      <c r="P4" s="366">
        <f t="shared" ref="P4:P12" si="0">C4/$C$13</f>
        <v>0.7674448410170247</v>
      </c>
      <c r="Q4" s="366">
        <f t="shared" ref="Q4:Q10" si="1">M4/$M$13</f>
        <v>0.46931439792958207</v>
      </c>
      <c r="W4" s="559">
        <f>C4/$C$13</f>
        <v>0.7674448410170247</v>
      </c>
    </row>
    <row r="5" spans="1:32" ht="14.4" hidden="1">
      <c r="A5" s="154" t="s">
        <v>26</v>
      </c>
      <c r="B5" s="65"/>
      <c r="C5" s="70">
        <f>'Mieszkalne - emisja'!AH6</f>
        <v>0</v>
      </c>
      <c r="D5" s="70">
        <f>'Mieszk. wielorodz. - emisja'!AM6</f>
        <v>0</v>
      </c>
      <c r="E5" s="70">
        <f>'Budynki komunalne - emisja'!P7</f>
        <v>0</v>
      </c>
      <c r="F5" s="70">
        <v>0</v>
      </c>
      <c r="G5" s="70">
        <v>0</v>
      </c>
      <c r="H5" s="70">
        <v>0</v>
      </c>
      <c r="I5" s="70">
        <v>0</v>
      </c>
      <c r="J5" s="70">
        <v>0</v>
      </c>
      <c r="K5" s="70">
        <f>'Budynki usł.-użytk. - emisja'!P7</f>
        <v>0</v>
      </c>
      <c r="L5" s="70">
        <v>0</v>
      </c>
      <c r="M5" s="70">
        <f t="shared" ref="M5:M11" si="2">SUM(C5:L5)</f>
        <v>0</v>
      </c>
      <c r="N5" s="493">
        <f t="shared" ref="N5:N12" si="3">M5/$M$13</f>
        <v>0</v>
      </c>
      <c r="O5" s="365">
        <f t="shared" ref="O5:O10" si="4">C5+E5+K5</f>
        <v>0</v>
      </c>
      <c r="P5" s="366">
        <f t="shared" si="0"/>
        <v>0</v>
      </c>
      <c r="Q5" s="366">
        <f t="shared" si="1"/>
        <v>0</v>
      </c>
      <c r="W5" s="559">
        <f t="shared" ref="W5:W13" si="5">C5/$C$13</f>
        <v>0</v>
      </c>
    </row>
    <row r="6" spans="1:32" ht="14.4">
      <c r="A6" s="154" t="s">
        <v>79</v>
      </c>
      <c r="B6" s="65"/>
      <c r="C6" s="70">
        <f>'Mieszkalne - emisja'!AH7</f>
        <v>18882.772307073956</v>
      </c>
      <c r="D6" s="70">
        <f>'Mieszk. wielorodz. - emisja'!AM7</f>
        <v>0</v>
      </c>
      <c r="E6" s="70">
        <f>'Budynki komunalne - emisja'!P8</f>
        <v>109.1526013875</v>
      </c>
      <c r="F6" s="70">
        <v>0</v>
      </c>
      <c r="G6" s="70">
        <v>0</v>
      </c>
      <c r="H6" s="70">
        <v>0</v>
      </c>
      <c r="I6" s="70">
        <v>0</v>
      </c>
      <c r="J6" s="70">
        <v>0</v>
      </c>
      <c r="K6" s="70">
        <f>'Budynki usł.-użytk. - emisja'!P8</f>
        <v>493.38123437879767</v>
      </c>
      <c r="L6" s="70">
        <v>0</v>
      </c>
      <c r="M6" s="70">
        <f t="shared" si="2"/>
        <v>19485.306142840254</v>
      </c>
      <c r="N6" s="493">
        <f t="shared" si="3"/>
        <v>0.13751551375368634</v>
      </c>
      <c r="O6" s="365">
        <f t="shared" si="4"/>
        <v>19485.306142840254</v>
      </c>
      <c r="P6" s="366">
        <f t="shared" si="0"/>
        <v>0.2325551589829753</v>
      </c>
      <c r="Q6" s="366">
        <f t="shared" si="1"/>
        <v>0.13751551375368634</v>
      </c>
      <c r="W6" s="559">
        <f t="shared" si="5"/>
        <v>0.2325551589829753</v>
      </c>
    </row>
    <row r="7" spans="1:32">
      <c r="A7" s="154" t="s">
        <v>27</v>
      </c>
      <c r="B7" s="66"/>
      <c r="C7" s="70">
        <f>'Mieszkalne - emisja'!AH8</f>
        <v>0</v>
      </c>
      <c r="D7" s="70">
        <f>'Mieszk. wielorodz. - emisja'!AM8</f>
        <v>0</v>
      </c>
      <c r="E7" s="70">
        <f>'Budynki komunalne - emisja'!P9</f>
        <v>3420</v>
      </c>
      <c r="F7" s="70">
        <v>0</v>
      </c>
      <c r="G7" s="70">
        <v>0</v>
      </c>
      <c r="H7" s="70">
        <v>0</v>
      </c>
      <c r="I7" s="70">
        <v>0</v>
      </c>
      <c r="J7" s="70">
        <v>0</v>
      </c>
      <c r="K7" s="70">
        <f>'Budynki usł.-użytk. - emisja'!P9</f>
        <v>0</v>
      </c>
      <c r="L7" s="70">
        <v>0</v>
      </c>
      <c r="M7" s="70">
        <f t="shared" si="2"/>
        <v>3420</v>
      </c>
      <c r="N7" s="493">
        <f t="shared" si="3"/>
        <v>2.4136292937353563E-2</v>
      </c>
      <c r="O7" s="365">
        <f t="shared" si="4"/>
        <v>3420</v>
      </c>
      <c r="P7" s="366">
        <f t="shared" si="0"/>
        <v>0</v>
      </c>
      <c r="Q7" s="366">
        <f t="shared" si="1"/>
        <v>2.4136292937353563E-2</v>
      </c>
      <c r="W7" s="559">
        <f t="shared" si="5"/>
        <v>0</v>
      </c>
    </row>
    <row r="8" spans="1:32" hidden="1">
      <c r="A8" s="154" t="s">
        <v>7</v>
      </c>
      <c r="B8" s="66"/>
      <c r="C8" s="70">
        <f>'Mieszkalne - emisja'!AH9</f>
        <v>0</v>
      </c>
      <c r="D8" s="70">
        <f>'Mieszk. wielorodz. - emisja'!AM9</f>
        <v>0</v>
      </c>
      <c r="E8" s="70">
        <f>'Budynki komunalne - emisja'!P10</f>
        <v>0</v>
      </c>
      <c r="F8" s="70">
        <v>0</v>
      </c>
      <c r="G8" s="70">
        <v>0</v>
      </c>
      <c r="H8" s="70">
        <v>0</v>
      </c>
      <c r="I8" s="70">
        <v>0</v>
      </c>
      <c r="J8" s="70">
        <v>0</v>
      </c>
      <c r="K8" s="70">
        <f>'Budynki usł.-użytk. - emisja'!P10</f>
        <v>0</v>
      </c>
      <c r="L8" s="70">
        <v>0</v>
      </c>
      <c r="M8" s="70">
        <f t="shared" si="2"/>
        <v>0</v>
      </c>
      <c r="N8" s="493">
        <f t="shared" si="3"/>
        <v>0</v>
      </c>
      <c r="O8" s="365">
        <f t="shared" si="4"/>
        <v>0</v>
      </c>
      <c r="P8" s="366">
        <f t="shared" si="0"/>
        <v>0</v>
      </c>
      <c r="Q8" s="366">
        <f t="shared" si="1"/>
        <v>0</v>
      </c>
      <c r="W8" s="559">
        <f t="shared" si="5"/>
        <v>0</v>
      </c>
    </row>
    <row r="9" spans="1:32" ht="24">
      <c r="A9" s="154" t="s">
        <v>9</v>
      </c>
      <c r="B9" s="66"/>
      <c r="C9" s="70">
        <f>'Mieszkalne - emisja'!AH10</f>
        <v>0</v>
      </c>
      <c r="D9" s="70">
        <f>'Mieszk. wielorodz. - emisja'!AM10</f>
        <v>0</v>
      </c>
      <c r="E9" s="70">
        <f>'Budynki komunalne - emisja'!P11</f>
        <v>1</v>
      </c>
      <c r="F9" s="70">
        <f>'Oświetlenie uliczne'!A4*3.6</f>
        <v>777.83039999999994</v>
      </c>
      <c r="G9" s="70">
        <v>0</v>
      </c>
      <c r="H9" s="70">
        <f>'Mieszkalne - emisja'!Q13*3.6</f>
        <v>10645.752672000001</v>
      </c>
      <c r="I9" s="70">
        <f>'Mieszk. wielorodz. - emisja'!M6*3.6</f>
        <v>0</v>
      </c>
      <c r="J9" s="70">
        <f>'Budynki komunalne - emisja'!Q14*3.6</f>
        <v>651.9319999999999</v>
      </c>
      <c r="K9" s="70">
        <f>'Budynki usł.-użytk. - emisja'!P11</f>
        <v>0</v>
      </c>
      <c r="L9" s="246">
        <f>'Budynki usł.-użytk. - emisja'!Q6*3.6</f>
        <v>0</v>
      </c>
      <c r="M9" s="70">
        <f t="shared" si="2"/>
        <v>12076.515072000002</v>
      </c>
      <c r="N9" s="493">
        <f t="shared" si="3"/>
        <v>8.5228744280747809E-2</v>
      </c>
      <c r="O9" s="365">
        <f t="shared" si="4"/>
        <v>1</v>
      </c>
      <c r="P9" s="366">
        <f t="shared" si="0"/>
        <v>0</v>
      </c>
      <c r="Q9" s="366">
        <f t="shared" si="1"/>
        <v>8.5228744280747809E-2</v>
      </c>
      <c r="W9" s="559">
        <f t="shared" si="5"/>
        <v>0</v>
      </c>
    </row>
    <row r="10" spans="1:32" ht="24" hidden="1">
      <c r="A10" s="154" t="s">
        <v>312</v>
      </c>
      <c r="B10" s="67"/>
      <c r="C10" s="70">
        <f>'Mieszkalne - emisja'!AH11</f>
        <v>0</v>
      </c>
      <c r="D10" s="70">
        <f>'Mieszk. wielorodz. - emisja'!AM11</f>
        <v>0</v>
      </c>
      <c r="E10" s="70">
        <f>'Budynki komunalne - emisja'!P12</f>
        <v>0</v>
      </c>
      <c r="F10" s="70">
        <v>0</v>
      </c>
      <c r="G10" s="70">
        <v>0</v>
      </c>
      <c r="H10" s="70">
        <v>0</v>
      </c>
      <c r="I10" s="70">
        <v>0</v>
      </c>
      <c r="J10" s="70">
        <v>0</v>
      </c>
      <c r="K10" s="70">
        <v>0</v>
      </c>
      <c r="L10" s="246">
        <v>0</v>
      </c>
      <c r="M10" s="70">
        <f t="shared" si="2"/>
        <v>0</v>
      </c>
      <c r="N10" s="493">
        <f t="shared" si="3"/>
        <v>0</v>
      </c>
      <c r="O10" s="365">
        <f t="shared" si="4"/>
        <v>0</v>
      </c>
      <c r="P10" s="366">
        <f t="shared" si="0"/>
        <v>0</v>
      </c>
      <c r="Q10" s="366">
        <f t="shared" si="1"/>
        <v>0</v>
      </c>
      <c r="W10" s="559">
        <f t="shared" si="5"/>
        <v>0</v>
      </c>
    </row>
    <row r="11" spans="1:32" ht="24" hidden="1">
      <c r="A11" s="154" t="s">
        <v>316</v>
      </c>
      <c r="B11" s="67"/>
      <c r="C11" s="70">
        <f>'Mieszkalne - emisja'!AH12</f>
        <v>0</v>
      </c>
      <c r="D11" s="70">
        <f>'Mieszk. wielorodz. - emisja'!AM12</f>
        <v>0</v>
      </c>
      <c r="E11" s="70">
        <v>0</v>
      </c>
      <c r="F11" s="70">
        <v>0</v>
      </c>
      <c r="G11" s="70">
        <v>0</v>
      </c>
      <c r="H11" s="70">
        <v>0</v>
      </c>
      <c r="I11" s="70">
        <v>0</v>
      </c>
      <c r="J11" s="70">
        <v>0</v>
      </c>
      <c r="K11" s="70">
        <v>0</v>
      </c>
      <c r="L11" s="246">
        <v>0</v>
      </c>
      <c r="M11" s="70">
        <f t="shared" si="2"/>
        <v>0</v>
      </c>
      <c r="N11" s="493">
        <f t="shared" si="3"/>
        <v>0</v>
      </c>
      <c r="O11" s="365"/>
      <c r="P11" s="366">
        <f t="shared" si="0"/>
        <v>0</v>
      </c>
      <c r="Q11" s="366"/>
      <c r="W11" s="559">
        <f t="shared" si="5"/>
        <v>0</v>
      </c>
    </row>
    <row r="12" spans="1:32" ht="24">
      <c r="A12" s="154" t="s">
        <v>142</v>
      </c>
      <c r="B12" s="67"/>
      <c r="C12" s="70">
        <v>0</v>
      </c>
      <c r="D12" s="70">
        <v>0</v>
      </c>
      <c r="E12" s="70">
        <v>0</v>
      </c>
      <c r="F12" s="70">
        <v>0</v>
      </c>
      <c r="G12" s="70">
        <f>'Transport - emisja'!N50+'Transport - emisja'!N55</f>
        <v>40213.850456512504</v>
      </c>
      <c r="H12" s="70">
        <v>0</v>
      </c>
      <c r="I12" s="70">
        <v>0</v>
      </c>
      <c r="J12" s="70">
        <v>0</v>
      </c>
      <c r="K12" s="70">
        <v>0</v>
      </c>
      <c r="L12" s="246">
        <v>0</v>
      </c>
      <c r="M12" s="70">
        <f>SUM(C12:L12)</f>
        <v>40213.850456512504</v>
      </c>
      <c r="N12" s="493">
        <f t="shared" si="3"/>
        <v>0.28380505109863019</v>
      </c>
      <c r="P12" s="367">
        <f t="shared" si="0"/>
        <v>0</v>
      </c>
      <c r="Q12" s="366">
        <f>M12/$M$13</f>
        <v>0.28380505109863019</v>
      </c>
      <c r="W12" s="559"/>
    </row>
    <row r="13" spans="1:32" ht="14.4" thickBot="1">
      <c r="A13" s="68" t="s">
        <v>138</v>
      </c>
      <c r="B13" s="69"/>
      <c r="C13" s="71">
        <f t="shared" ref="C13:M13" si="6">SUM(C4:C12)</f>
        <v>81196.961570980711</v>
      </c>
      <c r="D13" s="71">
        <f t="shared" si="6"/>
        <v>0</v>
      </c>
      <c r="E13" s="71">
        <f t="shared" si="6"/>
        <v>5742.0970296124997</v>
      </c>
      <c r="F13" s="71">
        <f t="shared" si="6"/>
        <v>777.83039999999994</v>
      </c>
      <c r="G13" s="71">
        <f t="shared" si="6"/>
        <v>40213.850456512504</v>
      </c>
      <c r="H13" s="71">
        <f t="shared" si="6"/>
        <v>10645.752672000001</v>
      </c>
      <c r="I13" s="71">
        <f t="shared" si="6"/>
        <v>0</v>
      </c>
      <c r="J13" s="71">
        <f t="shared" si="6"/>
        <v>651.9319999999999</v>
      </c>
      <c r="K13" s="71">
        <f t="shared" si="6"/>
        <v>2466.9061718939884</v>
      </c>
      <c r="L13" s="71">
        <f t="shared" si="6"/>
        <v>0</v>
      </c>
      <c r="M13" s="71">
        <f t="shared" si="6"/>
        <v>141695.33030099972</v>
      </c>
      <c r="N13" s="494">
        <f>SUM(N4:N12)</f>
        <v>0.99999999999999989</v>
      </c>
      <c r="O13" s="365">
        <f>SUM(O4:O12)</f>
        <v>89405.964772487205</v>
      </c>
      <c r="W13" s="559">
        <f t="shared" si="5"/>
        <v>1</v>
      </c>
    </row>
    <row r="14" spans="1:32" ht="14.4" thickBot="1">
      <c r="M14" s="761"/>
      <c r="X14" s="838"/>
    </row>
    <row r="15" spans="1:32">
      <c r="A15" s="1200" t="s">
        <v>143</v>
      </c>
      <c r="B15" s="148"/>
      <c r="C15" s="1202" t="s">
        <v>519</v>
      </c>
      <c r="D15" s="1203"/>
      <c r="E15" s="1203"/>
      <c r="F15" s="1203"/>
      <c r="G15" s="1203"/>
      <c r="H15" s="1203"/>
      <c r="I15" s="1203"/>
      <c r="J15" s="1203"/>
      <c r="K15" s="1203"/>
      <c r="L15" s="1203"/>
      <c r="M15" s="1203"/>
      <c r="N15" s="1204"/>
    </row>
    <row r="16" spans="1:32" ht="84">
      <c r="A16" s="1201"/>
      <c r="B16" s="150" t="s">
        <v>141</v>
      </c>
      <c r="C16" s="151" t="s">
        <v>387</v>
      </c>
      <c r="D16" s="151" t="s">
        <v>388</v>
      </c>
      <c r="E16" s="149" t="s">
        <v>241</v>
      </c>
      <c r="F16" s="151" t="s">
        <v>139</v>
      </c>
      <c r="G16" s="151" t="s">
        <v>140</v>
      </c>
      <c r="H16" s="151" t="str">
        <f>H3</f>
        <v>Budynki mieszkalne j. - energia elektryczna (bez ogrzewania)</v>
      </c>
      <c r="I16" s="151" t="str">
        <f>I3</f>
        <v>Budynki mieszkalne w. - energia elektryczna (bez ogrzewania)</v>
      </c>
      <c r="J16" s="149" t="s">
        <v>240</v>
      </c>
      <c r="K16" s="149" t="s">
        <v>243</v>
      </c>
      <c r="L16" s="149" t="s">
        <v>289</v>
      </c>
      <c r="M16" s="492" t="s">
        <v>138</v>
      </c>
      <c r="N16" s="153" t="s">
        <v>359</v>
      </c>
    </row>
    <row r="17" spans="1:17" ht="14.4">
      <c r="A17" s="154" t="s">
        <v>8</v>
      </c>
      <c r="B17" s="152"/>
      <c r="C17" s="70">
        <f>C4/3.6</f>
        <v>17309.497017751877</v>
      </c>
      <c r="D17" s="70">
        <f t="shared" ref="D17:L17" si="7">D4/3.6</f>
        <v>0</v>
      </c>
      <c r="E17" s="70">
        <f t="shared" si="7"/>
        <v>614.42900784027779</v>
      </c>
      <c r="F17" s="70">
        <f t="shared" si="7"/>
        <v>0</v>
      </c>
      <c r="G17" s="70">
        <f t="shared" si="7"/>
        <v>0</v>
      </c>
      <c r="H17" s="70">
        <f t="shared" si="7"/>
        <v>0</v>
      </c>
      <c r="I17" s="70"/>
      <c r="J17" s="70">
        <f t="shared" si="7"/>
        <v>0</v>
      </c>
      <c r="K17" s="70">
        <f t="shared" si="7"/>
        <v>548.20137153199744</v>
      </c>
      <c r="L17" s="70">
        <f t="shared" si="7"/>
        <v>0</v>
      </c>
      <c r="M17" s="70">
        <f>SUM(C17:L17)</f>
        <v>18472.127397124154</v>
      </c>
      <c r="N17" s="493">
        <f>M17/$M$13</f>
        <v>0.13036511053599503</v>
      </c>
    </row>
    <row r="18" spans="1:17" ht="14.4" hidden="1">
      <c r="A18" s="154" t="s">
        <v>26</v>
      </c>
      <c r="B18" s="65"/>
      <c r="C18" s="70">
        <f t="shared" ref="C18:L18" si="8">C5/3.6</f>
        <v>0</v>
      </c>
      <c r="D18" s="70">
        <f t="shared" si="8"/>
        <v>0</v>
      </c>
      <c r="E18" s="70">
        <f t="shared" si="8"/>
        <v>0</v>
      </c>
      <c r="F18" s="70">
        <f t="shared" si="8"/>
        <v>0</v>
      </c>
      <c r="G18" s="70">
        <f t="shared" si="8"/>
        <v>0</v>
      </c>
      <c r="H18" s="70">
        <f t="shared" si="8"/>
        <v>0</v>
      </c>
      <c r="I18" s="70"/>
      <c r="J18" s="70">
        <f t="shared" si="8"/>
        <v>0</v>
      </c>
      <c r="K18" s="70">
        <f t="shared" si="8"/>
        <v>0</v>
      </c>
      <c r="L18" s="70">
        <f t="shared" si="8"/>
        <v>0</v>
      </c>
      <c r="M18" s="70">
        <f t="shared" ref="M18:M24" si="9">SUM(C18:L18)</f>
        <v>0</v>
      </c>
      <c r="N18" s="493">
        <f t="shared" ref="N18:N25" si="10">M18/$M$13</f>
        <v>0</v>
      </c>
    </row>
    <row r="19" spans="1:17" ht="14.4">
      <c r="A19" s="154" t="s">
        <v>79</v>
      </c>
      <c r="B19" s="65"/>
      <c r="C19" s="70">
        <f t="shared" ref="C19:L19" si="11">C6/3.6</f>
        <v>5245.2145297427651</v>
      </c>
      <c r="D19" s="70">
        <f t="shared" si="11"/>
        <v>0</v>
      </c>
      <c r="E19" s="70">
        <f t="shared" si="11"/>
        <v>30.320167052083331</v>
      </c>
      <c r="F19" s="70">
        <f t="shared" si="11"/>
        <v>0</v>
      </c>
      <c r="G19" s="70">
        <f t="shared" si="11"/>
        <v>0</v>
      </c>
      <c r="H19" s="70">
        <f t="shared" si="11"/>
        <v>0</v>
      </c>
      <c r="I19" s="70"/>
      <c r="J19" s="70">
        <f t="shared" si="11"/>
        <v>0</v>
      </c>
      <c r="K19" s="70">
        <f t="shared" si="11"/>
        <v>137.05034288299936</v>
      </c>
      <c r="L19" s="70">
        <f t="shared" si="11"/>
        <v>0</v>
      </c>
      <c r="M19" s="70">
        <f t="shared" si="9"/>
        <v>5412.5850396778478</v>
      </c>
      <c r="N19" s="493">
        <f t="shared" si="10"/>
        <v>3.8198753820468424E-2</v>
      </c>
    </row>
    <row r="20" spans="1:17">
      <c r="A20" s="154" t="s">
        <v>27</v>
      </c>
      <c r="B20" s="66"/>
      <c r="C20" s="70">
        <f t="shared" ref="C20:L20" si="12">C7/3.6</f>
        <v>0</v>
      </c>
      <c r="D20" s="70">
        <f t="shared" si="12"/>
        <v>0</v>
      </c>
      <c r="E20" s="70">
        <f t="shared" si="12"/>
        <v>950</v>
      </c>
      <c r="F20" s="70">
        <f t="shared" si="12"/>
        <v>0</v>
      </c>
      <c r="G20" s="70">
        <f t="shared" si="12"/>
        <v>0</v>
      </c>
      <c r="H20" s="70">
        <f t="shared" si="12"/>
        <v>0</v>
      </c>
      <c r="I20" s="70"/>
      <c r="J20" s="70">
        <f t="shared" si="12"/>
        <v>0</v>
      </c>
      <c r="K20" s="70">
        <f t="shared" si="12"/>
        <v>0</v>
      </c>
      <c r="L20" s="70">
        <f t="shared" si="12"/>
        <v>0</v>
      </c>
      <c r="M20" s="70">
        <f t="shared" si="9"/>
        <v>950</v>
      </c>
      <c r="N20" s="493">
        <f t="shared" si="10"/>
        <v>6.7045258159315457E-3</v>
      </c>
      <c r="P20" s="931"/>
    </row>
    <row r="21" spans="1:17" hidden="1">
      <c r="A21" s="154" t="s">
        <v>7</v>
      </c>
      <c r="B21" s="66"/>
      <c r="C21" s="70">
        <f t="shared" ref="C21:L21" si="13">C8/3.6</f>
        <v>0</v>
      </c>
      <c r="D21" s="70">
        <f t="shared" si="13"/>
        <v>0</v>
      </c>
      <c r="E21" s="70">
        <f t="shared" si="13"/>
        <v>0</v>
      </c>
      <c r="F21" s="70">
        <f t="shared" si="13"/>
        <v>0</v>
      </c>
      <c r="G21" s="70">
        <f t="shared" si="13"/>
        <v>0</v>
      </c>
      <c r="H21" s="70">
        <f t="shared" si="13"/>
        <v>0</v>
      </c>
      <c r="I21" s="70"/>
      <c r="J21" s="70">
        <f t="shared" si="13"/>
        <v>0</v>
      </c>
      <c r="K21" s="70">
        <f t="shared" si="13"/>
        <v>0</v>
      </c>
      <c r="L21" s="70">
        <f t="shared" si="13"/>
        <v>0</v>
      </c>
      <c r="M21" s="70">
        <f t="shared" si="9"/>
        <v>0</v>
      </c>
      <c r="N21" s="493">
        <f t="shared" si="10"/>
        <v>0</v>
      </c>
      <c r="P21" s="364">
        <v>98811.347584345873</v>
      </c>
      <c r="Q21" s="364">
        <f t="shared" ref="Q21:Q28" si="14">P21/$P$28</f>
        <v>0.77595632268979875</v>
      </c>
    </row>
    <row r="22" spans="1:17" ht="24">
      <c r="A22" s="154" t="s">
        <v>9</v>
      </c>
      <c r="B22" s="66"/>
      <c r="C22" s="70">
        <f t="shared" ref="C22:L22" si="15">C9/3.6</f>
        <v>0</v>
      </c>
      <c r="D22" s="70">
        <f t="shared" si="15"/>
        <v>0</v>
      </c>
      <c r="E22" s="70">
        <f t="shared" si="15"/>
        <v>0.27777777777777779</v>
      </c>
      <c r="F22" s="70">
        <f t="shared" si="15"/>
        <v>216.06399999999996</v>
      </c>
      <c r="G22" s="70">
        <f t="shared" si="15"/>
        <v>0</v>
      </c>
      <c r="H22" s="70">
        <f t="shared" si="15"/>
        <v>2957.1535200000003</v>
      </c>
      <c r="I22" s="70">
        <f t="shared" si="15"/>
        <v>0</v>
      </c>
      <c r="J22" s="70">
        <f t="shared" si="15"/>
        <v>181.0922222222222</v>
      </c>
      <c r="K22" s="70">
        <f t="shared" si="15"/>
        <v>0</v>
      </c>
      <c r="L22" s="70">
        <f t="shared" si="15"/>
        <v>0</v>
      </c>
      <c r="M22" s="70">
        <f t="shared" si="9"/>
        <v>3354.58752</v>
      </c>
      <c r="N22" s="493">
        <f t="shared" si="10"/>
        <v>2.3674651189096611E-2</v>
      </c>
      <c r="P22" s="364">
        <v>3860.7134285221632</v>
      </c>
      <c r="Q22" s="364">
        <f t="shared" si="14"/>
        <v>3.0317823490849567E-2</v>
      </c>
    </row>
    <row r="23" spans="1:17" ht="24" hidden="1">
      <c r="A23" s="154" t="s">
        <v>312</v>
      </c>
      <c r="B23" s="67"/>
      <c r="C23" s="70">
        <f t="shared" ref="C23:L23" si="16">C10/3.6</f>
        <v>0</v>
      </c>
      <c r="D23" s="70">
        <f t="shared" si="16"/>
        <v>0</v>
      </c>
      <c r="E23" s="70">
        <f t="shared" si="16"/>
        <v>0</v>
      </c>
      <c r="F23" s="70">
        <f t="shared" si="16"/>
        <v>0</v>
      </c>
      <c r="G23" s="70">
        <f t="shared" si="16"/>
        <v>0</v>
      </c>
      <c r="H23" s="70">
        <f t="shared" si="16"/>
        <v>0</v>
      </c>
      <c r="I23" s="70"/>
      <c r="J23" s="70">
        <f t="shared" si="16"/>
        <v>0</v>
      </c>
      <c r="K23" s="70">
        <f t="shared" si="16"/>
        <v>0</v>
      </c>
      <c r="L23" s="70">
        <f t="shared" si="16"/>
        <v>0</v>
      </c>
      <c r="M23" s="70">
        <f t="shared" si="9"/>
        <v>0</v>
      </c>
      <c r="N23" s="493">
        <f t="shared" si="10"/>
        <v>0</v>
      </c>
      <c r="P23" s="364">
        <v>21331.538395678061</v>
      </c>
      <c r="Q23" s="364">
        <f t="shared" si="14"/>
        <v>0.16751458709433584</v>
      </c>
    </row>
    <row r="24" spans="1:17" ht="24" hidden="1">
      <c r="A24" s="154" t="s">
        <v>316</v>
      </c>
      <c r="B24" s="67"/>
      <c r="C24" s="70">
        <f t="shared" ref="C24:L24" si="17">C11/3.6</f>
        <v>0</v>
      </c>
      <c r="D24" s="70">
        <f t="shared" si="17"/>
        <v>0</v>
      </c>
      <c r="E24" s="70">
        <f t="shared" si="17"/>
        <v>0</v>
      </c>
      <c r="F24" s="70">
        <f t="shared" si="17"/>
        <v>0</v>
      </c>
      <c r="G24" s="70">
        <f t="shared" si="17"/>
        <v>0</v>
      </c>
      <c r="H24" s="70">
        <f t="shared" si="17"/>
        <v>0</v>
      </c>
      <c r="I24" s="70"/>
      <c r="J24" s="70">
        <f t="shared" si="17"/>
        <v>0</v>
      </c>
      <c r="K24" s="70">
        <f t="shared" si="17"/>
        <v>0</v>
      </c>
      <c r="L24" s="70">
        <f t="shared" si="17"/>
        <v>0</v>
      </c>
      <c r="M24" s="70">
        <f t="shared" si="9"/>
        <v>0</v>
      </c>
      <c r="N24" s="493">
        <f t="shared" si="10"/>
        <v>0</v>
      </c>
      <c r="P24" s="364">
        <v>0</v>
      </c>
      <c r="Q24" s="364">
        <f t="shared" si="14"/>
        <v>0</v>
      </c>
    </row>
    <row r="25" spans="1:17" ht="24">
      <c r="A25" s="154" t="s">
        <v>142</v>
      </c>
      <c r="B25" s="67"/>
      <c r="C25" s="70">
        <f t="shared" ref="C25:L25" si="18">C12/3.6</f>
        <v>0</v>
      </c>
      <c r="D25" s="70">
        <f t="shared" si="18"/>
        <v>0</v>
      </c>
      <c r="E25" s="70">
        <f t="shared" si="18"/>
        <v>0</v>
      </c>
      <c r="F25" s="70">
        <f t="shared" si="18"/>
        <v>0</v>
      </c>
      <c r="G25" s="70">
        <f t="shared" si="18"/>
        <v>11170.514015697918</v>
      </c>
      <c r="H25" s="70">
        <f t="shared" si="18"/>
        <v>0</v>
      </c>
      <c r="I25" s="70"/>
      <c r="J25" s="70">
        <f t="shared" si="18"/>
        <v>0</v>
      </c>
      <c r="K25" s="70">
        <f t="shared" si="18"/>
        <v>0</v>
      </c>
      <c r="L25" s="70">
        <f t="shared" si="18"/>
        <v>0</v>
      </c>
      <c r="M25" s="70">
        <f>SUM(C25:L25)</f>
        <v>11170.514015697918</v>
      </c>
      <c r="N25" s="493">
        <f t="shared" si="10"/>
        <v>7.8834736416286161E-2</v>
      </c>
      <c r="P25" s="364">
        <v>0</v>
      </c>
      <c r="Q25" s="364">
        <f t="shared" si="14"/>
        <v>0</v>
      </c>
    </row>
    <row r="26" spans="1:17" ht="14.4" thickBot="1">
      <c r="A26" s="68" t="s">
        <v>138</v>
      </c>
      <c r="B26" s="69"/>
      <c r="C26" s="71">
        <f t="shared" ref="C26" si="19">SUM(C17:C25)</f>
        <v>22554.71154749464</v>
      </c>
      <c r="D26" s="71">
        <f>SUM(D17:D25)</f>
        <v>0</v>
      </c>
      <c r="E26" s="71">
        <f t="shared" ref="E26:M26" si="20">SUM(E17:E25)</f>
        <v>1595.0269526701391</v>
      </c>
      <c r="F26" s="71">
        <f t="shared" si="20"/>
        <v>216.06399999999996</v>
      </c>
      <c r="G26" s="71">
        <f t="shared" si="20"/>
        <v>11170.514015697918</v>
      </c>
      <c r="H26" s="71">
        <f t="shared" si="20"/>
        <v>2957.1535200000003</v>
      </c>
      <c r="I26" s="71"/>
      <c r="J26" s="71">
        <f t="shared" si="20"/>
        <v>181.0922222222222</v>
      </c>
      <c r="K26" s="71">
        <f t="shared" si="20"/>
        <v>685.25171441499674</v>
      </c>
      <c r="L26" s="71">
        <f t="shared" si="20"/>
        <v>0</v>
      </c>
      <c r="M26" s="71">
        <f t="shared" si="20"/>
        <v>39359.81397249992</v>
      </c>
      <c r="N26" s="494">
        <f>SUM(N17:N25)</f>
        <v>0.27777777777777779</v>
      </c>
      <c r="P26" s="364">
        <v>3126.7044204899225</v>
      </c>
      <c r="Q26" s="364">
        <f t="shared" si="14"/>
        <v>2.4553719016839576E-2</v>
      </c>
    </row>
    <row r="27" spans="1:17">
      <c r="P27" s="364" t="s">
        <v>95</v>
      </c>
      <c r="Q27" s="364" t="e">
        <f t="shared" si="14"/>
        <v>#VALUE!</v>
      </c>
    </row>
    <row r="28" spans="1:17">
      <c r="C28" s="245"/>
      <c r="E28" s="245"/>
      <c r="P28" s="364">
        <v>127341.37823869157</v>
      </c>
      <c r="Q28" s="364">
        <f t="shared" si="14"/>
        <v>1</v>
      </c>
    </row>
    <row r="29" spans="1:17">
      <c r="C29" s="245"/>
    </row>
  </sheetData>
  <mergeCells count="5">
    <mergeCell ref="A2:A3"/>
    <mergeCell ref="A1:AF1"/>
    <mergeCell ref="C2:N2"/>
    <mergeCell ref="A15:A16"/>
    <mergeCell ref="C15:N15"/>
  </mergeCells>
  <pageMargins left="0.7" right="0.7" top="0.75" bottom="0.75" header="0.3" footer="0.3"/>
  <pageSetup paperSize="9" scale="7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39997558519241921"/>
  </sheetPr>
  <dimension ref="A1:AB21"/>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C10" sqref="C10"/>
    </sheetView>
  </sheetViews>
  <sheetFormatPr defaultRowHeight="13.8"/>
  <cols>
    <col min="1" max="1" width="9.765625E-2" customWidth="1"/>
    <col min="2" max="2" width="11.19921875" customWidth="1"/>
    <col min="3" max="4" width="6.8984375" bestFit="1" customWidth="1"/>
    <col min="5" max="5" width="9.5" bestFit="1" customWidth="1"/>
    <col min="6" max="6" width="6.09765625" bestFit="1" customWidth="1"/>
    <col min="7" max="7" width="6.8984375" bestFit="1" customWidth="1"/>
    <col min="8" max="8" width="7" customWidth="1"/>
    <col min="9" max="9" width="6.8984375" bestFit="1" customWidth="1"/>
  </cols>
  <sheetData>
    <row r="1" spans="1:28">
      <c r="A1" s="1199" t="s">
        <v>405</v>
      </c>
      <c r="B1" s="1199"/>
      <c r="C1" s="1199"/>
      <c r="D1" s="1199"/>
      <c r="E1" s="1199"/>
      <c r="F1" s="1199"/>
      <c r="G1" s="1199"/>
      <c r="H1" s="1199"/>
      <c r="I1" s="1199"/>
      <c r="J1" s="1063"/>
      <c r="K1" s="1063"/>
      <c r="L1" s="1063"/>
      <c r="M1" s="1063"/>
      <c r="N1" s="1063"/>
      <c r="O1" s="1063"/>
      <c r="P1" s="1063"/>
      <c r="Q1" s="1063"/>
      <c r="R1" s="1063"/>
      <c r="S1" s="1063"/>
      <c r="T1" s="1063"/>
      <c r="U1" s="1063"/>
      <c r="V1" s="1063"/>
      <c r="W1" s="1063"/>
      <c r="X1" s="1063"/>
      <c r="Y1" s="1063"/>
      <c r="Z1" s="1063"/>
      <c r="AA1" s="1063"/>
      <c r="AB1" s="1063"/>
    </row>
    <row r="2" spans="1:28">
      <c r="B2" s="1205" t="s">
        <v>136</v>
      </c>
      <c r="C2" s="1205" t="s">
        <v>144</v>
      </c>
      <c r="D2" s="1205"/>
      <c r="E2" s="1205"/>
      <c r="F2" s="1205"/>
      <c r="G2" s="1205"/>
      <c r="H2" s="1205"/>
      <c r="I2" s="1205"/>
    </row>
    <row r="3" spans="1:28" ht="15">
      <c r="B3" s="1205"/>
      <c r="C3" s="147" t="s">
        <v>66</v>
      </c>
      <c r="D3" s="147" t="s">
        <v>67</v>
      </c>
      <c r="E3" s="147" t="s">
        <v>552</v>
      </c>
      <c r="F3" s="147" t="s">
        <v>553</v>
      </c>
      <c r="G3" s="147" t="s">
        <v>147</v>
      </c>
      <c r="H3" s="147" t="s">
        <v>145</v>
      </c>
      <c r="I3" s="147" t="s">
        <v>72</v>
      </c>
    </row>
    <row r="4" spans="1:28">
      <c r="B4" s="1205"/>
      <c r="C4" s="1205" t="s">
        <v>146</v>
      </c>
      <c r="D4" s="1205"/>
      <c r="E4" s="1205"/>
      <c r="F4" s="1205"/>
      <c r="G4" s="1205"/>
      <c r="H4" s="1205"/>
      <c r="I4" s="1205"/>
    </row>
    <row r="5" spans="1:28" ht="36">
      <c r="A5" s="155" t="s">
        <v>394</v>
      </c>
      <c r="B5" s="143" t="s">
        <v>389</v>
      </c>
      <c r="C5" s="464">
        <f>'Mieszkalne - emisja'!Y23</f>
        <v>23.08442329177452</v>
      </c>
      <c r="D5" s="464">
        <f>'Mieszkalne - emisja'!Z23</f>
        <v>21.400055026370019</v>
      </c>
      <c r="E5" s="464">
        <f>'Mieszkalne - emisja'!AA13</f>
        <v>8300.2052534786199</v>
      </c>
      <c r="F5" s="464">
        <f>'Mieszkalne - emisja'!AB13</f>
        <v>1.9109646550410773E-2</v>
      </c>
      <c r="G5" s="464">
        <f>'Mieszkalne - emisja'!AC23</f>
        <v>56.290480832893891</v>
      </c>
      <c r="H5" s="464">
        <f>'Mieszkalne - emisja'!AD23</f>
        <v>11.356263688263184</v>
      </c>
      <c r="I5" s="464">
        <f>'Mieszkalne - emisja'!AE23</f>
        <v>128.74020756716862</v>
      </c>
    </row>
    <row r="6" spans="1:28" ht="36" hidden="1">
      <c r="A6" s="155" t="s">
        <v>395</v>
      </c>
      <c r="B6" s="143" t="s">
        <v>390</v>
      </c>
      <c r="C6" s="464">
        <f>'Mieszk. wielorodz. - emisja'!AD13</f>
        <v>0</v>
      </c>
      <c r="D6" s="464">
        <f>'Mieszk. wielorodz. - emisja'!AE13</f>
        <v>0</v>
      </c>
      <c r="E6" s="464">
        <f>'Mieszk. wielorodz. - emisja'!AF13</f>
        <v>0</v>
      </c>
      <c r="F6" s="464">
        <f>'Mieszk. wielorodz. - emisja'!AG13</f>
        <v>0</v>
      </c>
      <c r="G6" s="464">
        <f>'Mieszk. wielorodz. - emisja'!AH13</f>
        <v>0</v>
      </c>
      <c r="H6" s="464">
        <f>'Mieszk. wielorodz. - emisja'!AI13</f>
        <v>0</v>
      </c>
      <c r="I6" s="464">
        <f>'Mieszk. wielorodz. - emisja'!AJ13</f>
        <v>0</v>
      </c>
    </row>
    <row r="7" spans="1:28" ht="36">
      <c r="A7" s="155" t="s">
        <v>353</v>
      </c>
      <c r="B7" s="143" t="s">
        <v>244</v>
      </c>
      <c r="C7" s="464">
        <f>'Budynki komunalne - emisja'!AH14</f>
        <v>1.2667807369686102</v>
      </c>
      <c r="D7" s="464">
        <f>'Budynki komunalne - emisja'!AI14</f>
        <v>1.2055609793446096</v>
      </c>
      <c r="E7" s="464">
        <f>'Budynki komunalne - emisja'!AJ14</f>
        <v>358.15682570181144</v>
      </c>
      <c r="F7" s="464">
        <f>'Budynki komunalne - emisja'!AK14</f>
        <v>6.3871204063804441E-4</v>
      </c>
      <c r="G7" s="464">
        <f>'Budynki komunalne - emisja'!AL14</f>
        <v>2.0491137077535737</v>
      </c>
      <c r="H7" s="464">
        <f>'Budynki komunalne - emisja'!AM14</f>
        <v>0.63454139858429215</v>
      </c>
      <c r="I7" s="464">
        <f>'Budynki komunalne - emisja'!AN14</f>
        <v>4.8668855587042019</v>
      </c>
    </row>
    <row r="8" spans="1:28" ht="36">
      <c r="A8" s="155" t="s">
        <v>354</v>
      </c>
      <c r="B8" s="370" t="s">
        <v>245</v>
      </c>
      <c r="C8" s="464">
        <f>'Budynki usł.-użytk. - emisja'!Y13</f>
        <v>0.68086610344274079</v>
      </c>
      <c r="D8" s="464">
        <f>'Budynki usł.-użytk. - emisja'!Z13</f>
        <v>0.62856769259858825</v>
      </c>
      <c r="E8" s="464">
        <f>'Budynki usł.-użytk. - emisja'!AA13</f>
        <v>184.99822764267395</v>
      </c>
      <c r="F8" s="464">
        <f>'Budynki usł.-użytk. - emisja'!AB13</f>
        <v>5.9255086248893602E-4</v>
      </c>
      <c r="G8" s="464">
        <f>'Budynki usł.-użytk. - emisja'!AC13</f>
        <v>1.7815996373418383</v>
      </c>
      <c r="H8" s="464">
        <f>'Budynki usł.-użytk. - emisja'!AD13</f>
        <v>0.35128743887770397</v>
      </c>
      <c r="I8" s="464">
        <f>'Budynki usł.-użytk. - emisja'!AE13</f>
        <v>4.0585001745018063</v>
      </c>
    </row>
    <row r="9" spans="1:28" hidden="1">
      <c r="A9" s="155" t="s">
        <v>148</v>
      </c>
      <c r="B9" s="143" t="s">
        <v>148</v>
      </c>
      <c r="C9" s="465">
        <f>'Przemysł, pozostałe - emisja'!W24</f>
        <v>0</v>
      </c>
      <c r="D9" s="465">
        <f>'Przemysł, pozostałe - emisja'!X24</f>
        <v>0</v>
      </c>
      <c r="E9" s="465">
        <f>'Przemysł, pozostałe - emisja'!Y24</f>
        <v>0</v>
      </c>
      <c r="F9" s="465">
        <f>'Przemysł, pozostałe - emisja'!Z24</f>
        <v>0</v>
      </c>
      <c r="G9" s="465">
        <f>'Przemysł, pozostałe - emisja'!AA24</f>
        <v>0</v>
      </c>
      <c r="H9" s="465">
        <f>'Przemysł, pozostałe - emisja'!AB24</f>
        <v>0</v>
      </c>
      <c r="I9" s="465">
        <f>'Przemysł, pozostałe - emisja'!AC24</f>
        <v>0</v>
      </c>
    </row>
    <row r="10" spans="1:28" ht="36">
      <c r="A10" s="155" t="s">
        <v>356</v>
      </c>
      <c r="B10" s="143" t="s">
        <v>149</v>
      </c>
      <c r="C10" s="464">
        <f>'Transport - emisja'!H48/1000</f>
        <v>0.21357384528449999</v>
      </c>
      <c r="D10" s="464">
        <f>'Transport - emisja'!H44/1000</f>
        <v>0.21357384528449999</v>
      </c>
      <c r="E10" s="464">
        <f>'Transport - emisja'!H32</f>
        <v>2839.7266057835504</v>
      </c>
      <c r="F10" s="464">
        <f>'Transport - emisja'!H52/1000000</f>
        <v>7.3085740140399983E-6</v>
      </c>
      <c r="G10" s="464">
        <f>'Transport - emisja'!H56/1000</f>
        <v>1.7220394396799999E-2</v>
      </c>
      <c r="H10" s="464">
        <f>'Transport - emisja'!H40/1000</f>
        <v>16.320082489327</v>
      </c>
      <c r="I10" s="464">
        <f>'Transport - emisja'!H36/1000</f>
        <v>47.930240627209002</v>
      </c>
    </row>
    <row r="11" spans="1:28" ht="24">
      <c r="A11" s="155" t="s">
        <v>355</v>
      </c>
      <c r="B11" s="143" t="s">
        <v>150</v>
      </c>
      <c r="C11" s="464" t="s">
        <v>95</v>
      </c>
      <c r="D11" s="464" t="s">
        <v>95</v>
      </c>
      <c r="E11" s="464">
        <f>'Oświetlenie uliczne'!D4</f>
        <v>179.65721600000001</v>
      </c>
      <c r="F11" s="464" t="s">
        <v>95</v>
      </c>
      <c r="G11" s="464" t="s">
        <v>95</v>
      </c>
      <c r="H11" s="464" t="s">
        <v>95</v>
      </c>
      <c r="I11" s="464" t="s">
        <v>95</v>
      </c>
    </row>
    <row r="12" spans="1:28">
      <c r="B12" s="370" t="s">
        <v>138</v>
      </c>
      <c r="C12" s="464">
        <f>SUM(C5:C11)</f>
        <v>25.245643977470372</v>
      </c>
      <c r="D12" s="464">
        <f t="shared" ref="D12:I12" si="0">SUM(D5:D11)</f>
        <v>23.447757543597717</v>
      </c>
      <c r="E12" s="464">
        <f t="shared" si="0"/>
        <v>11862.744128606657</v>
      </c>
      <c r="F12" s="464">
        <f t="shared" si="0"/>
        <v>2.0348218027551792E-2</v>
      </c>
      <c r="G12" s="464">
        <f t="shared" si="0"/>
        <v>60.138414572386111</v>
      </c>
      <c r="H12" s="464">
        <f t="shared" si="0"/>
        <v>28.662175015052178</v>
      </c>
      <c r="I12" s="464">
        <f t="shared" si="0"/>
        <v>185.59583392758364</v>
      </c>
      <c r="K12" s="157" t="s">
        <v>317</v>
      </c>
    </row>
    <row r="13" spans="1:28">
      <c r="B13" s="166"/>
      <c r="J13" s="42"/>
    </row>
    <row r="14" spans="1:28">
      <c r="B14" s="166"/>
      <c r="C14" s="166"/>
      <c r="D14" s="166"/>
      <c r="E14" s="166"/>
      <c r="F14" s="166"/>
      <c r="G14" s="166"/>
      <c r="H14" s="166"/>
      <c r="I14" s="166"/>
      <c r="J14" s="166"/>
    </row>
    <row r="15" spans="1:28">
      <c r="B15" s="166"/>
      <c r="C15" s="166"/>
      <c r="D15" s="166"/>
      <c r="E15" s="166"/>
      <c r="F15" s="166"/>
      <c r="G15" s="166"/>
      <c r="H15" s="166"/>
      <c r="I15" s="166"/>
      <c r="J15" s="166"/>
    </row>
    <row r="16" spans="1:28">
      <c r="B16" s="166"/>
      <c r="C16" s="166"/>
      <c r="D16" s="166"/>
      <c r="E16" s="166"/>
      <c r="F16" s="166"/>
      <c r="G16" s="166"/>
      <c r="H16" s="166"/>
      <c r="I16" s="368"/>
      <c r="J16" s="166"/>
    </row>
    <row r="17" spans="2:10">
      <c r="B17" s="166"/>
      <c r="C17" s="166"/>
      <c r="D17" s="166"/>
      <c r="E17" s="166"/>
      <c r="F17" s="166"/>
      <c r="G17" s="166"/>
      <c r="H17" s="166"/>
      <c r="I17" s="368"/>
      <c r="J17" s="166"/>
    </row>
    <row r="21" spans="2:10">
      <c r="C21" s="369">
        <f>C12</f>
        <v>25.245643977470372</v>
      </c>
      <c r="D21" s="369">
        <f>D12</f>
        <v>23.447757543597717</v>
      </c>
      <c r="E21" s="369">
        <f>E12/100</f>
        <v>118.62744128606657</v>
      </c>
      <c r="F21" s="369">
        <f>F12*1000</f>
        <v>20.348218027551791</v>
      </c>
      <c r="G21" s="369">
        <f>G12</f>
        <v>60.138414572386111</v>
      </c>
      <c r="H21" s="369">
        <f>H12</f>
        <v>28.662175015052178</v>
      </c>
      <c r="I21" s="369">
        <f>I12</f>
        <v>185.59583392758364</v>
      </c>
    </row>
  </sheetData>
  <mergeCells count="4">
    <mergeCell ref="B2:B4"/>
    <mergeCell ref="C2:I2"/>
    <mergeCell ref="C4:I4"/>
    <mergeCell ref="A1:AB1"/>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57"/>
  <sheetViews>
    <sheetView topLeftCell="A31" zoomScaleNormal="100" workbookViewId="0">
      <selection activeCell="I47" sqref="I47"/>
    </sheetView>
  </sheetViews>
  <sheetFormatPr defaultColWidth="9" defaultRowHeight="10.199999999999999"/>
  <cols>
    <col min="1" max="1" width="11.59765625" style="378" customWidth="1"/>
    <col min="2" max="3" width="12.59765625" style="378" customWidth="1"/>
    <col min="4" max="4" width="12.69921875" style="378" customWidth="1"/>
    <col min="5" max="5" width="10" style="378" bestFit="1" customWidth="1"/>
    <col min="6" max="6" width="10.59765625" style="378" customWidth="1"/>
    <col min="7" max="7" width="12.19921875" style="378" customWidth="1"/>
    <col min="8" max="8" width="10" style="378" bestFit="1" customWidth="1"/>
    <col min="9" max="9" width="9.09765625" style="378" bestFit="1" customWidth="1"/>
    <col min="10" max="10" width="13.3984375" style="378" bestFit="1" customWidth="1"/>
    <col min="11" max="11" width="9.09765625" style="378" bestFit="1" customWidth="1"/>
    <col min="12" max="12" width="10" style="378" bestFit="1" customWidth="1"/>
    <col min="13" max="13" width="4.69921875" style="378" customWidth="1"/>
    <col min="14" max="14" width="16.59765625" style="378" customWidth="1"/>
    <col min="15" max="15" width="12.19921875" style="378" customWidth="1"/>
    <col min="16" max="16" width="3.09765625" style="378" hidden="1" customWidth="1"/>
    <col min="17" max="17" width="6.3984375" style="378" customWidth="1"/>
    <col min="18" max="16384" width="9" style="378"/>
  </cols>
  <sheetData>
    <row r="1" spans="1:53" ht="10.8" thickBot="1">
      <c r="A1" s="439" t="s">
        <v>247</v>
      </c>
      <c r="B1" s="439"/>
      <c r="C1" s="439"/>
      <c r="D1" s="439"/>
      <c r="E1" s="439"/>
      <c r="F1" s="439"/>
      <c r="G1" s="439"/>
      <c r="H1" s="439"/>
      <c r="I1" s="439"/>
      <c r="J1" s="439"/>
      <c r="K1" s="439"/>
      <c r="L1" s="439"/>
      <c r="N1" s="440" t="s">
        <v>248</v>
      </c>
      <c r="O1" s="440"/>
      <c r="P1" s="440"/>
      <c r="Q1" s="440"/>
      <c r="R1" s="440"/>
      <c r="S1" s="440"/>
      <c r="T1" s="440"/>
      <c r="U1" s="440">
        <f>0.330833*3.6</f>
        <v>1.1909988</v>
      </c>
      <c r="V1" s="441" t="s">
        <v>249</v>
      </c>
    </row>
    <row r="2" spans="1:53" ht="12" customHeight="1" thickBot="1">
      <c r="A2" s="439"/>
      <c r="B2" s="439"/>
      <c r="C2" s="439"/>
      <c r="D2" s="439"/>
      <c r="E2" s="439"/>
      <c r="F2" s="439"/>
      <c r="G2" s="439"/>
      <c r="H2" s="439"/>
      <c r="I2" s="439"/>
      <c r="J2" s="985" t="s">
        <v>179</v>
      </c>
      <c r="K2" s="986"/>
      <c r="L2" s="987"/>
      <c r="N2" s="442"/>
      <c r="O2" s="442" t="s">
        <v>250</v>
      </c>
      <c r="P2" s="443" t="s">
        <v>251</v>
      </c>
      <c r="Q2" s="443" t="s">
        <v>252</v>
      </c>
      <c r="R2" s="442" t="s">
        <v>253</v>
      </c>
      <c r="S2" s="442" t="s">
        <v>253</v>
      </c>
      <c r="T2" s="442" t="s">
        <v>254</v>
      </c>
      <c r="U2" s="441" t="s">
        <v>254</v>
      </c>
      <c r="V2" s="395" t="s">
        <v>255</v>
      </c>
    </row>
    <row r="3" spans="1:53" ht="30.6">
      <c r="A3" s="379" t="s">
        <v>25</v>
      </c>
      <c r="B3" s="380" t="s">
        <v>268</v>
      </c>
      <c r="C3" s="380" t="s">
        <v>270</v>
      </c>
      <c r="E3" s="379" t="s">
        <v>178</v>
      </c>
      <c r="F3" s="381" t="s">
        <v>35</v>
      </c>
      <c r="G3" s="381" t="s">
        <v>195</v>
      </c>
      <c r="H3" s="380" t="s">
        <v>274</v>
      </c>
      <c r="J3" s="382" t="s">
        <v>49</v>
      </c>
      <c r="K3" s="383" t="s">
        <v>281</v>
      </c>
      <c r="L3" s="384">
        <v>6.5</v>
      </c>
      <c r="N3" s="441" t="s">
        <v>256</v>
      </c>
      <c r="O3" s="441">
        <f>Q3</f>
        <v>3.7499999999999999E-2</v>
      </c>
      <c r="P3" s="441">
        <v>15</v>
      </c>
      <c r="Q3" s="441">
        <f>P3*$V$3/1000000</f>
        <v>3.7499999999999999E-2</v>
      </c>
      <c r="R3" s="441">
        <v>20</v>
      </c>
      <c r="S3" s="441">
        <f>R3*$V$3/1000000</f>
        <v>0.05</v>
      </c>
      <c r="T3" s="441">
        <v>25</v>
      </c>
      <c r="U3" s="441">
        <f>T3*$V$3/1000000</f>
        <v>6.25E-2</v>
      </c>
      <c r="V3" s="395">
        <v>2500</v>
      </c>
    </row>
    <row r="4" spans="1:53">
      <c r="A4" s="385" t="s">
        <v>8</v>
      </c>
      <c r="B4" s="386">
        <v>22.63</v>
      </c>
      <c r="C4" s="387">
        <v>41</v>
      </c>
      <c r="D4" s="388"/>
      <c r="E4" s="389" t="s">
        <v>36</v>
      </c>
      <c r="F4" s="390">
        <v>0.2</v>
      </c>
      <c r="G4" s="391" t="s">
        <v>37</v>
      </c>
      <c r="H4" s="392">
        <v>290</v>
      </c>
      <c r="J4" s="382" t="s">
        <v>49</v>
      </c>
      <c r="K4" s="383" t="s">
        <v>280</v>
      </c>
      <c r="L4" s="393">
        <v>35</v>
      </c>
      <c r="N4" s="441" t="s">
        <v>172</v>
      </c>
      <c r="O4" s="441">
        <f t="shared" ref="O4:O7" si="0">Q4</f>
        <v>0.03</v>
      </c>
      <c r="P4" s="441">
        <v>15</v>
      </c>
      <c r="Q4" s="441">
        <f>P4*$V$4/1000000</f>
        <v>0.03</v>
      </c>
      <c r="R4" s="441">
        <v>20</v>
      </c>
      <c r="S4" s="441">
        <f>R4*$V$4/1000000</f>
        <v>0.04</v>
      </c>
      <c r="T4" s="441">
        <v>25</v>
      </c>
      <c r="U4" s="441">
        <f>T4*$V$4/1000000</f>
        <v>0.05</v>
      </c>
      <c r="V4" s="441">
        <v>2000</v>
      </c>
    </row>
    <row r="5" spans="1:53">
      <c r="A5" s="385" t="s">
        <v>26</v>
      </c>
      <c r="B5" s="386">
        <v>4.0035600000000005E-2</v>
      </c>
      <c r="C5" s="387">
        <v>70</v>
      </c>
      <c r="D5" s="388"/>
      <c r="E5" s="389" t="s">
        <v>38</v>
      </c>
      <c r="F5" s="390">
        <v>0.22</v>
      </c>
      <c r="G5" s="391" t="s">
        <v>39</v>
      </c>
      <c r="H5" s="392">
        <v>250</v>
      </c>
      <c r="J5" s="382" t="s">
        <v>50</v>
      </c>
      <c r="K5" s="383" t="s">
        <v>51</v>
      </c>
      <c r="L5" s="394">
        <v>0</v>
      </c>
      <c r="N5" s="441" t="s">
        <v>257</v>
      </c>
      <c r="O5" s="441">
        <f t="shared" si="0"/>
        <v>7.4999999999999997E-2</v>
      </c>
      <c r="P5" s="441">
        <v>15</v>
      </c>
      <c r="Q5" s="441">
        <f>P5*$V$5/1000000</f>
        <v>7.4999999999999997E-2</v>
      </c>
      <c r="R5" s="441">
        <v>25</v>
      </c>
      <c r="S5" s="441">
        <f>R5*$V$5/1000000</f>
        <v>0.125</v>
      </c>
      <c r="T5" s="441">
        <v>35</v>
      </c>
      <c r="U5" s="441">
        <f>3.6*T5*$V$5/1000000</f>
        <v>0.63</v>
      </c>
      <c r="V5" s="395">
        <v>5000</v>
      </c>
      <c r="BA5" s="378" t="b">
        <f>IF(V5="energia el.",(IF(U5&gt;=50,AJ5,AC5+AW5*Z!$J$46)))</f>
        <v>0</v>
      </c>
    </row>
    <row r="6" spans="1:53">
      <c r="A6" s="385" t="s">
        <v>79</v>
      </c>
      <c r="B6" s="386">
        <v>15</v>
      </c>
      <c r="C6" s="387">
        <v>38</v>
      </c>
      <c r="D6" s="388"/>
      <c r="E6" s="389" t="s">
        <v>40</v>
      </c>
      <c r="F6" s="390">
        <v>0.1</v>
      </c>
      <c r="G6" s="391" t="s">
        <v>41</v>
      </c>
      <c r="H6" s="392">
        <v>175</v>
      </c>
      <c r="J6" s="382" t="s">
        <v>52</v>
      </c>
      <c r="K6" s="395">
        <v>4.1900000000000004</v>
      </c>
      <c r="L6" s="393">
        <v>4.1900000000000004</v>
      </c>
      <c r="N6" s="441" t="s">
        <v>176</v>
      </c>
      <c r="O6" s="441">
        <f t="shared" si="0"/>
        <v>0.02</v>
      </c>
      <c r="P6" s="441">
        <v>10</v>
      </c>
      <c r="Q6" s="441">
        <f>P6*$V$6/1000000</f>
        <v>0.02</v>
      </c>
      <c r="R6" s="441">
        <v>20</v>
      </c>
      <c r="S6" s="441">
        <f>R6*$V$6/1000000</f>
        <v>0.04</v>
      </c>
      <c r="T6" s="441">
        <v>30</v>
      </c>
      <c r="U6" s="441">
        <f>T6*$V$6/1000000</f>
        <v>0.06</v>
      </c>
      <c r="V6" s="395">
        <v>2000</v>
      </c>
    </row>
    <row r="7" spans="1:53">
      <c r="A7" s="385" t="s">
        <v>27</v>
      </c>
      <c r="B7" s="386">
        <v>18</v>
      </c>
      <c r="C7" s="387">
        <v>54</v>
      </c>
      <c r="D7" s="388"/>
      <c r="E7" s="389" t="s">
        <v>42</v>
      </c>
      <c r="F7" s="390">
        <v>0.06</v>
      </c>
      <c r="G7" s="391" t="s">
        <v>43</v>
      </c>
      <c r="H7" s="392">
        <v>130</v>
      </c>
      <c r="J7" s="382" t="s">
        <v>53</v>
      </c>
      <c r="K7" s="383" t="s">
        <v>54</v>
      </c>
      <c r="L7" s="393">
        <v>365</v>
      </c>
      <c r="N7" s="441" t="s">
        <v>175</v>
      </c>
      <c r="O7" s="441">
        <f t="shared" si="0"/>
        <v>3.7499999999999999E-2</v>
      </c>
      <c r="P7" s="441">
        <v>15</v>
      </c>
      <c r="Q7" s="441">
        <f>P7*$V$7/1000000</f>
        <v>3.7499999999999999E-2</v>
      </c>
      <c r="R7" s="441">
        <v>25</v>
      </c>
      <c r="S7" s="441">
        <f>R7*$V$7/1000000</f>
        <v>6.25E-2</v>
      </c>
      <c r="T7" s="441">
        <v>35</v>
      </c>
      <c r="U7" s="441">
        <f>T7*$V$7/1000000</f>
        <v>8.7499999999999994E-2</v>
      </c>
      <c r="V7" s="395">
        <v>2500</v>
      </c>
    </row>
    <row r="8" spans="1:53" ht="13.5" customHeight="1">
      <c r="A8" s="385" t="s">
        <v>7</v>
      </c>
      <c r="B8" s="386">
        <f>40.19*0.86</f>
        <v>34.563399999999994</v>
      </c>
      <c r="C8" s="387">
        <v>90</v>
      </c>
      <c r="D8" s="388"/>
      <c r="E8" s="389" t="s">
        <v>44</v>
      </c>
      <c r="F8" s="390">
        <v>0.42</v>
      </c>
      <c r="G8" s="391" t="s">
        <v>45</v>
      </c>
      <c r="H8" s="392">
        <v>115</v>
      </c>
      <c r="J8" s="382" t="s">
        <v>55</v>
      </c>
      <c r="K8" s="383" t="s">
        <v>56</v>
      </c>
      <c r="L8" s="393">
        <v>1</v>
      </c>
      <c r="N8" s="396" t="s">
        <v>89</v>
      </c>
      <c r="P8" s="397" t="s">
        <v>48</v>
      </c>
    </row>
    <row r="9" spans="1:53" ht="10.8" thickBot="1">
      <c r="A9" s="385" t="s">
        <v>28</v>
      </c>
      <c r="B9" s="386" t="s">
        <v>95</v>
      </c>
      <c r="C9" s="387" t="s">
        <v>95</v>
      </c>
      <c r="E9" s="398">
        <v>0</v>
      </c>
      <c r="F9" s="399">
        <v>0</v>
      </c>
      <c r="G9" s="400">
        <v>0</v>
      </c>
      <c r="H9" s="401">
        <v>0</v>
      </c>
      <c r="J9" s="382" t="s">
        <v>57</v>
      </c>
      <c r="K9" s="383" t="s">
        <v>58</v>
      </c>
      <c r="L9" s="393">
        <v>1000</v>
      </c>
      <c r="N9" s="378" t="s">
        <v>93</v>
      </c>
      <c r="P9" s="402">
        <f>1-G13</f>
        <v>0.6</v>
      </c>
    </row>
    <row r="10" spans="1:53" ht="10.8" thickBot="1">
      <c r="A10" s="403" t="s">
        <v>313</v>
      </c>
      <c r="B10" s="404" t="s">
        <v>95</v>
      </c>
      <c r="C10" s="387">
        <v>138</v>
      </c>
      <c r="J10" s="382" t="s">
        <v>59</v>
      </c>
      <c r="K10" s="383" t="s">
        <v>60</v>
      </c>
      <c r="L10" s="393">
        <f>55-10</f>
        <v>45</v>
      </c>
      <c r="N10" s="378" t="s">
        <v>94</v>
      </c>
      <c r="P10" s="402">
        <f>1-G14</f>
        <v>0.8</v>
      </c>
    </row>
    <row r="11" spans="1:53" ht="10.8" thickBot="1">
      <c r="A11" s="378" t="s">
        <v>282</v>
      </c>
      <c r="D11" s="405"/>
      <c r="J11" s="988" t="s">
        <v>61</v>
      </c>
      <c r="K11" s="989"/>
      <c r="L11" s="393">
        <v>0.9</v>
      </c>
      <c r="N11" s="378" t="s">
        <v>103</v>
      </c>
      <c r="P11" s="402">
        <f>1-G15</f>
        <v>1</v>
      </c>
    </row>
    <row r="12" spans="1:53" ht="20.399999999999999">
      <c r="A12" s="378" t="s">
        <v>269</v>
      </c>
      <c r="F12" s="379" t="s">
        <v>196</v>
      </c>
      <c r="G12" s="406" t="s">
        <v>182</v>
      </c>
      <c r="H12" s="407" t="s">
        <v>261</v>
      </c>
      <c r="J12" s="408" t="s">
        <v>62</v>
      </c>
      <c r="K12" s="409" t="s">
        <v>63</v>
      </c>
      <c r="L12" s="410">
        <f>L4*L6*L9*L10*L8*L7/(1000*3600)</f>
        <v>669.09062500000005</v>
      </c>
      <c r="N12" s="378" t="s">
        <v>3</v>
      </c>
    </row>
    <row r="13" spans="1:53">
      <c r="F13" s="385" t="s">
        <v>32</v>
      </c>
      <c r="G13" s="411">
        <v>0.4</v>
      </c>
      <c r="H13" s="412">
        <f>1-G13</f>
        <v>0.6</v>
      </c>
      <c r="J13" s="408" t="s">
        <v>64</v>
      </c>
      <c r="K13" s="395"/>
      <c r="L13" s="410">
        <f>L12/1000</f>
        <v>0.66909062500000005</v>
      </c>
      <c r="N13" s="378" t="s">
        <v>90</v>
      </c>
      <c r="O13" s="413" t="s">
        <v>86</v>
      </c>
    </row>
    <row r="14" spans="1:53">
      <c r="F14" s="385" t="s">
        <v>33</v>
      </c>
      <c r="G14" s="411">
        <v>0.2</v>
      </c>
      <c r="H14" s="412">
        <f t="shared" ref="H14:H15" si="1">1-G14</f>
        <v>0.8</v>
      </c>
      <c r="J14" s="408" t="s">
        <v>65</v>
      </c>
      <c r="K14" s="383"/>
      <c r="L14" s="410">
        <f>L13*3.6</f>
        <v>2.4087262500000004</v>
      </c>
      <c r="N14" s="378" t="s">
        <v>91</v>
      </c>
      <c r="O14" s="414" t="s">
        <v>87</v>
      </c>
    </row>
    <row r="15" spans="1:53" ht="10.8" thickBot="1">
      <c r="F15" s="403" t="s">
        <v>31</v>
      </c>
      <c r="G15" s="415">
        <v>0</v>
      </c>
      <c r="H15" s="416">
        <f t="shared" si="1"/>
        <v>1</v>
      </c>
      <c r="J15" s="417" t="s">
        <v>65</v>
      </c>
      <c r="K15" s="418" t="s">
        <v>322</v>
      </c>
      <c r="L15" s="419">
        <f>L14*L11</f>
        <v>2.1678536250000002</v>
      </c>
      <c r="N15" s="378" t="s">
        <v>104</v>
      </c>
      <c r="O15" s="414" t="s">
        <v>88</v>
      </c>
    </row>
    <row r="16" spans="1:53" ht="10.8" thickBot="1">
      <c r="E16" s="420"/>
      <c r="K16" s="418" t="s">
        <v>323</v>
      </c>
      <c r="L16" s="419">
        <f>L15*L3/L4</f>
        <v>0.40260138750000002</v>
      </c>
      <c r="N16" s="378" t="s">
        <v>92</v>
      </c>
      <c r="O16" s="421"/>
    </row>
    <row r="17" spans="1:19" ht="14.25" customHeight="1" thickBot="1"/>
    <row r="18" spans="1:19" ht="10.8" thickBot="1">
      <c r="A18" s="979" t="s">
        <v>325</v>
      </c>
      <c r="B18" s="982" t="s">
        <v>344</v>
      </c>
      <c r="C18" s="983"/>
      <c r="D18" s="983"/>
      <c r="E18" s="983"/>
      <c r="F18" s="983"/>
      <c r="G18" s="983"/>
      <c r="H18" s="984"/>
    </row>
    <row r="19" spans="1:19">
      <c r="A19" s="980"/>
      <c r="B19" s="979" t="s">
        <v>327</v>
      </c>
      <c r="C19" s="969" t="s">
        <v>328</v>
      </c>
      <c r="D19" s="970"/>
      <c r="E19" s="966" t="s">
        <v>329</v>
      </c>
      <c r="F19" s="966" t="s">
        <v>76</v>
      </c>
      <c r="G19" s="969" t="s">
        <v>330</v>
      </c>
      <c r="H19" s="970"/>
      <c r="N19" s="421" t="s">
        <v>314</v>
      </c>
    </row>
    <row r="20" spans="1:19" ht="10.8" thickBot="1">
      <c r="A20" s="980"/>
      <c r="B20" s="980"/>
      <c r="C20" s="973" t="s">
        <v>331</v>
      </c>
      <c r="D20" s="974"/>
      <c r="E20" s="967"/>
      <c r="F20" s="967"/>
      <c r="G20" s="971"/>
      <c r="H20" s="972"/>
      <c r="N20" s="421" t="s">
        <v>3</v>
      </c>
    </row>
    <row r="21" spans="1:19" ht="31.2" thickBot="1">
      <c r="A21" s="981"/>
      <c r="B21" s="981"/>
      <c r="C21" s="446" t="s">
        <v>332</v>
      </c>
      <c r="D21" s="446" t="s">
        <v>333</v>
      </c>
      <c r="E21" s="968"/>
      <c r="F21" s="968"/>
      <c r="G21" s="446" t="s">
        <v>332</v>
      </c>
      <c r="H21" s="446" t="s">
        <v>333</v>
      </c>
      <c r="N21" s="421" t="s">
        <v>90</v>
      </c>
    </row>
    <row r="22" spans="1:19" ht="11.25" customHeight="1" thickBot="1">
      <c r="A22" s="447" t="s">
        <v>334</v>
      </c>
      <c r="B22" s="446" t="s">
        <v>335</v>
      </c>
      <c r="C22" s="446">
        <v>225</v>
      </c>
      <c r="D22" s="446">
        <v>78</v>
      </c>
      <c r="E22" s="446">
        <v>0.5</v>
      </c>
      <c r="F22" s="446">
        <v>3</v>
      </c>
      <c r="G22" s="446">
        <v>480</v>
      </c>
      <c r="H22" s="446">
        <v>34</v>
      </c>
      <c r="M22" s="421"/>
      <c r="N22" s="421" t="s">
        <v>91</v>
      </c>
    </row>
    <row r="23" spans="1:19" ht="10.8" thickBot="1">
      <c r="A23" s="447" t="s">
        <v>336</v>
      </c>
      <c r="B23" s="446" t="s">
        <v>335</v>
      </c>
      <c r="C23" s="446">
        <v>201</v>
      </c>
      <c r="D23" s="446">
        <v>70</v>
      </c>
      <c r="E23" s="446">
        <v>0.5</v>
      </c>
      <c r="F23" s="446">
        <v>3</v>
      </c>
      <c r="G23" s="446">
        <v>470</v>
      </c>
      <c r="H23" s="446">
        <v>33</v>
      </c>
      <c r="M23" s="421"/>
      <c r="N23" s="421" t="s">
        <v>2</v>
      </c>
      <c r="O23" s="421"/>
    </row>
    <row r="24" spans="1:19" ht="12" thickBot="1">
      <c r="A24" s="447" t="s">
        <v>337</v>
      </c>
      <c r="B24" s="446" t="s">
        <v>338</v>
      </c>
      <c r="C24" s="446">
        <v>93.74</v>
      </c>
      <c r="D24" s="446">
        <v>93.74</v>
      </c>
      <c r="E24" s="446">
        <v>55.82</v>
      </c>
      <c r="F24" s="446">
        <v>76.59</v>
      </c>
      <c r="G24" s="446">
        <v>0</v>
      </c>
      <c r="H24" s="446">
        <v>0</v>
      </c>
      <c r="M24" s="421"/>
      <c r="N24" s="421" t="s">
        <v>262</v>
      </c>
      <c r="O24" s="431" t="s">
        <v>258</v>
      </c>
      <c r="P24" s="396"/>
      <c r="Q24" s="396" t="s">
        <v>260</v>
      </c>
      <c r="R24" s="396"/>
      <c r="S24" s="396" t="s">
        <v>163</v>
      </c>
    </row>
    <row r="25" spans="1:19" ht="10.8" thickBot="1">
      <c r="A25" s="447" t="s">
        <v>339</v>
      </c>
      <c r="B25" s="446" t="s">
        <v>340</v>
      </c>
      <c r="C25" s="446">
        <v>270</v>
      </c>
      <c r="D25" s="446">
        <v>7.9000000000000001E-2</v>
      </c>
      <c r="E25" s="446" t="s">
        <v>341</v>
      </c>
      <c r="F25" s="446">
        <v>10</v>
      </c>
      <c r="G25" s="446">
        <v>121</v>
      </c>
      <c r="H25" s="446">
        <v>10</v>
      </c>
      <c r="M25" s="421"/>
      <c r="N25" s="421" t="s">
        <v>93</v>
      </c>
      <c r="O25" s="378" t="s">
        <v>87</v>
      </c>
      <c r="P25" s="378" t="s">
        <v>87</v>
      </c>
      <c r="Q25" s="378" t="s">
        <v>87</v>
      </c>
      <c r="S25" s="378" t="s">
        <v>173</v>
      </c>
    </row>
    <row r="26" spans="1:19" ht="12" thickBot="1">
      <c r="A26" s="447" t="s">
        <v>342</v>
      </c>
      <c r="B26" s="446" t="s">
        <v>335</v>
      </c>
      <c r="C26" s="446">
        <v>900</v>
      </c>
      <c r="D26" s="446">
        <v>450</v>
      </c>
      <c r="E26" s="446">
        <v>0.5</v>
      </c>
      <c r="F26" s="446">
        <v>140</v>
      </c>
      <c r="G26" s="446">
        <v>11</v>
      </c>
      <c r="H26" s="446">
        <v>11</v>
      </c>
      <c r="N26" s="432" t="s">
        <v>20</v>
      </c>
      <c r="O26" s="378" t="s">
        <v>88</v>
      </c>
      <c r="P26" s="378" t="s">
        <v>88</v>
      </c>
      <c r="Q26" s="378" t="s">
        <v>88</v>
      </c>
      <c r="S26" s="378" t="s">
        <v>174</v>
      </c>
    </row>
    <row r="27" spans="1:19" ht="12" thickBot="1">
      <c r="A27" s="447" t="s">
        <v>343</v>
      </c>
      <c r="B27" s="446" t="s">
        <v>335</v>
      </c>
      <c r="C27" s="446">
        <v>158</v>
      </c>
      <c r="D27" s="446">
        <v>165</v>
      </c>
      <c r="E27" s="446">
        <v>50</v>
      </c>
      <c r="F27" s="446">
        <v>70</v>
      </c>
      <c r="G27" s="446">
        <v>80</v>
      </c>
      <c r="H27" s="446">
        <v>91</v>
      </c>
      <c r="N27" s="437" t="s">
        <v>21</v>
      </c>
      <c r="O27" s="378" t="s">
        <v>259</v>
      </c>
      <c r="P27" s="378" t="s">
        <v>259</v>
      </c>
      <c r="Q27" s="378" t="s">
        <v>259</v>
      </c>
      <c r="S27" s="378" t="s">
        <v>296</v>
      </c>
    </row>
    <row r="28" spans="1:19" ht="10.8" thickBot="1">
      <c r="A28" s="448"/>
      <c r="B28" s="448"/>
      <c r="C28" s="448"/>
      <c r="D28" s="448"/>
      <c r="E28" s="448"/>
      <c r="F28" s="448"/>
      <c r="G28" s="448"/>
      <c r="H28" s="448"/>
      <c r="N28" s="437" t="s">
        <v>22</v>
      </c>
    </row>
    <row r="29" spans="1:19" ht="11.25" customHeight="1" thickBot="1">
      <c r="A29" s="979" t="s">
        <v>325</v>
      </c>
      <c r="B29" s="982" t="s">
        <v>326</v>
      </c>
      <c r="C29" s="983"/>
      <c r="D29" s="983"/>
      <c r="E29" s="983"/>
      <c r="F29" s="983"/>
      <c r="G29" s="983"/>
      <c r="H29" s="984"/>
      <c r="N29" s="437" t="s">
        <v>23</v>
      </c>
    </row>
    <row r="30" spans="1:19">
      <c r="A30" s="980"/>
      <c r="B30" s="979" t="s">
        <v>327</v>
      </c>
      <c r="C30" s="969" t="s">
        <v>328</v>
      </c>
      <c r="D30" s="970"/>
      <c r="E30" s="966" t="s">
        <v>329</v>
      </c>
      <c r="F30" s="966" t="s">
        <v>76</v>
      </c>
      <c r="G30" s="969" t="s">
        <v>330</v>
      </c>
      <c r="H30" s="970"/>
    </row>
    <row r="31" spans="1:19" ht="15.75" customHeight="1" thickBot="1">
      <c r="A31" s="980"/>
      <c r="B31" s="980"/>
      <c r="C31" s="973" t="s">
        <v>331</v>
      </c>
      <c r="D31" s="974"/>
      <c r="E31" s="967"/>
      <c r="F31" s="967"/>
      <c r="G31" s="971"/>
      <c r="H31" s="972"/>
      <c r="M31" s="378" t="s">
        <v>109</v>
      </c>
    </row>
    <row r="32" spans="1:19" ht="21" customHeight="1" thickBot="1">
      <c r="A32" s="981"/>
      <c r="B32" s="981"/>
      <c r="C32" s="446" t="s">
        <v>332</v>
      </c>
      <c r="D32" s="446" t="s">
        <v>333</v>
      </c>
      <c r="E32" s="968"/>
      <c r="F32" s="968"/>
      <c r="G32" s="446" t="s">
        <v>332</v>
      </c>
      <c r="H32" s="446" t="s">
        <v>333</v>
      </c>
      <c r="M32" s="378" t="s">
        <v>88</v>
      </c>
    </row>
    <row r="33" spans="1:19" ht="10.8" thickBot="1">
      <c r="A33" s="447" t="s">
        <v>334</v>
      </c>
      <c r="B33" s="446" t="s">
        <v>335</v>
      </c>
      <c r="C33" s="446">
        <v>190</v>
      </c>
      <c r="D33" s="446">
        <v>78</v>
      </c>
      <c r="E33" s="446">
        <v>0.5</v>
      </c>
      <c r="F33" s="446">
        <v>3</v>
      </c>
      <c r="G33" s="446">
        <v>76</v>
      </c>
      <c r="H33" s="446">
        <v>34</v>
      </c>
    </row>
    <row r="34" spans="1:19" ht="10.8" thickBot="1">
      <c r="A34" s="447" t="s">
        <v>336</v>
      </c>
      <c r="B34" s="446" t="s">
        <v>335</v>
      </c>
      <c r="C34" s="446">
        <v>170</v>
      </c>
      <c r="D34" s="446">
        <v>70</v>
      </c>
      <c r="E34" s="446">
        <v>0.5</v>
      </c>
      <c r="F34" s="446">
        <v>3</v>
      </c>
      <c r="G34" s="446">
        <v>76</v>
      </c>
      <c r="H34" s="446">
        <v>33</v>
      </c>
    </row>
    <row r="35" spans="1:19" ht="12" thickBot="1">
      <c r="A35" s="447" t="s">
        <v>337</v>
      </c>
      <c r="B35" s="446" t="s">
        <v>338</v>
      </c>
      <c r="C35" s="446">
        <v>93.74</v>
      </c>
      <c r="D35" s="446">
        <v>93.74</v>
      </c>
      <c r="E35" s="446">
        <v>55.82</v>
      </c>
      <c r="F35" s="446">
        <v>76.59</v>
      </c>
      <c r="G35" s="446">
        <v>0</v>
      </c>
      <c r="H35" s="446">
        <v>0</v>
      </c>
    </row>
    <row r="36" spans="1:19" ht="10.8" thickBot="1">
      <c r="A36" s="447" t="s">
        <v>339</v>
      </c>
      <c r="B36" s="446" t="s">
        <v>340</v>
      </c>
      <c r="C36" s="446">
        <v>100</v>
      </c>
      <c r="D36" s="446">
        <v>7.9000000000000001E-2</v>
      </c>
      <c r="E36" s="446" t="s">
        <v>341</v>
      </c>
      <c r="F36" s="446">
        <v>10</v>
      </c>
      <c r="G36" s="446">
        <v>50</v>
      </c>
      <c r="H36" s="446">
        <v>10</v>
      </c>
    </row>
    <row r="37" spans="1:19" ht="12" thickBot="1">
      <c r="A37" s="447" t="s">
        <v>342</v>
      </c>
      <c r="B37" s="446" t="s">
        <v>335</v>
      </c>
      <c r="C37" s="446">
        <v>900</v>
      </c>
      <c r="D37" s="446">
        <v>450</v>
      </c>
      <c r="E37" s="446">
        <v>0.5</v>
      </c>
      <c r="F37" s="446">
        <v>140</v>
      </c>
      <c r="G37" s="446">
        <v>20</v>
      </c>
      <c r="H37" s="446">
        <v>11</v>
      </c>
    </row>
    <row r="38" spans="1:19" ht="12" thickBot="1">
      <c r="A38" s="447" t="s">
        <v>343</v>
      </c>
      <c r="B38" s="446" t="s">
        <v>335</v>
      </c>
      <c r="C38" s="446">
        <v>160</v>
      </c>
      <c r="D38" s="446">
        <v>165</v>
      </c>
      <c r="E38" s="446">
        <v>70</v>
      </c>
      <c r="F38" s="446">
        <v>70</v>
      </c>
      <c r="G38" s="446">
        <v>150</v>
      </c>
      <c r="H38" s="446">
        <v>91</v>
      </c>
    </row>
    <row r="40" spans="1:19" ht="10.8" thickBot="1"/>
    <row r="41" spans="1:19" ht="10.8" thickBot="1">
      <c r="A41" s="975" t="s">
        <v>324</v>
      </c>
      <c r="B41" s="976"/>
      <c r="C41" s="976"/>
      <c r="D41" s="976"/>
      <c r="E41" s="976"/>
      <c r="F41" s="976"/>
      <c r="G41" s="976"/>
      <c r="H41" s="976"/>
      <c r="I41" s="976"/>
      <c r="J41" s="977"/>
      <c r="K41" s="405"/>
    </row>
    <row r="42" spans="1:19" ht="13.8" thickBot="1">
      <c r="A42" s="422" t="s">
        <v>73</v>
      </c>
      <c r="B42" s="423"/>
      <c r="C42" s="423" t="s">
        <v>8</v>
      </c>
      <c r="D42" s="423" t="s">
        <v>26</v>
      </c>
      <c r="E42" s="423" t="s">
        <v>79</v>
      </c>
      <c r="F42" s="424" t="s">
        <v>27</v>
      </c>
      <c r="G42" s="424" t="s">
        <v>76</v>
      </c>
      <c r="H42" s="423" t="s">
        <v>74</v>
      </c>
      <c r="I42" s="425" t="s">
        <v>180</v>
      </c>
      <c r="J42" s="426" t="s">
        <v>181</v>
      </c>
      <c r="L42" s="951" t="s">
        <v>325</v>
      </c>
      <c r="M42" s="954" t="s">
        <v>345</v>
      </c>
      <c r="N42" s="955"/>
      <c r="O42" s="955"/>
      <c r="P42" s="955"/>
      <c r="Q42" s="955"/>
      <c r="R42" s="955"/>
      <c r="S42" s="956"/>
    </row>
    <row r="43" spans="1:19" ht="12.75" customHeight="1">
      <c r="A43" s="422" t="s">
        <v>75</v>
      </c>
      <c r="B43" s="395" t="s">
        <v>263</v>
      </c>
      <c r="C43" s="427"/>
      <c r="D43" s="427"/>
      <c r="E43" s="427"/>
      <c r="F43" s="427"/>
      <c r="G43" s="427"/>
      <c r="H43" s="427"/>
      <c r="I43" s="427">
        <v>0</v>
      </c>
      <c r="J43" s="393"/>
      <c r="L43" s="952"/>
      <c r="M43" s="951" t="s">
        <v>327</v>
      </c>
      <c r="N43" s="957" t="s">
        <v>328</v>
      </c>
      <c r="O43" s="958"/>
      <c r="P43" s="961" t="s">
        <v>329</v>
      </c>
      <c r="Q43" s="961" t="s">
        <v>76</v>
      </c>
      <c r="R43" s="957" t="s">
        <v>330</v>
      </c>
      <c r="S43" s="958"/>
    </row>
    <row r="44" spans="1:19" ht="13.8" thickBot="1">
      <c r="A44" s="428" t="s">
        <v>66</v>
      </c>
      <c r="B44" s="395" t="s">
        <v>263</v>
      </c>
      <c r="C44" s="450">
        <f>190/1000000</f>
        <v>1.9000000000000001E-4</v>
      </c>
      <c r="D44" s="450">
        <f>0.5/1000000</f>
        <v>4.9999999999999998E-7</v>
      </c>
      <c r="E44" s="450">
        <f>76/1000000</f>
        <v>7.6000000000000004E-5</v>
      </c>
      <c r="F44" s="450">
        <f>E44</f>
        <v>7.6000000000000004E-5</v>
      </c>
      <c r="G44" s="445">
        <f>3/1000000</f>
        <v>3.0000000000000001E-6</v>
      </c>
      <c r="H44" s="429">
        <v>0</v>
      </c>
      <c r="I44" s="429">
        <v>0</v>
      </c>
      <c r="J44" s="393"/>
      <c r="L44" s="952"/>
      <c r="M44" s="952"/>
      <c r="N44" s="959" t="s">
        <v>331</v>
      </c>
      <c r="O44" s="960"/>
      <c r="P44" s="962"/>
      <c r="Q44" s="962"/>
      <c r="R44" s="964"/>
      <c r="S44" s="965"/>
    </row>
    <row r="45" spans="1:19" ht="30" customHeight="1" thickBot="1">
      <c r="A45" s="428" t="s">
        <v>67</v>
      </c>
      <c r="B45" s="395" t="s">
        <v>263</v>
      </c>
      <c r="C45" s="450">
        <f>170/1000000</f>
        <v>1.7000000000000001E-4</v>
      </c>
      <c r="D45" s="450">
        <f>0.5/1000000</f>
        <v>4.9999999999999998E-7</v>
      </c>
      <c r="E45" s="450">
        <f>76/1000000</f>
        <v>7.6000000000000004E-5</v>
      </c>
      <c r="F45" s="450">
        <f t="shared" ref="F45:F49" si="2">E45</f>
        <v>7.6000000000000004E-5</v>
      </c>
      <c r="G45" s="445">
        <f>3/1000000</f>
        <v>3.0000000000000001E-6</v>
      </c>
      <c r="H45" s="429">
        <v>0</v>
      </c>
      <c r="I45" s="429">
        <v>0</v>
      </c>
      <c r="J45" s="393"/>
      <c r="L45" s="953"/>
      <c r="M45" s="953"/>
      <c r="N45" s="449" t="s">
        <v>332</v>
      </c>
      <c r="O45" s="451" t="s">
        <v>333</v>
      </c>
      <c r="P45" s="963"/>
      <c r="Q45" s="963"/>
      <c r="R45" s="449" t="s">
        <v>332</v>
      </c>
      <c r="S45" s="449" t="s">
        <v>333</v>
      </c>
    </row>
    <row r="46" spans="1:19" ht="13.8" thickBot="1">
      <c r="A46" s="428" t="s">
        <v>68</v>
      </c>
      <c r="B46" s="395" t="s">
        <v>263</v>
      </c>
      <c r="C46" s="450">
        <f>93.74/1000</f>
        <v>9.373999999999999E-2</v>
      </c>
      <c r="D46" s="450">
        <f>55.82/1000</f>
        <v>5.5820000000000002E-2</v>
      </c>
      <c r="E46" s="450">
        <v>0</v>
      </c>
      <c r="F46" s="450">
        <f t="shared" si="2"/>
        <v>0</v>
      </c>
      <c r="G46" s="445">
        <f>76.59/1000</f>
        <v>7.6590000000000005E-2</v>
      </c>
      <c r="H46" s="429">
        <f>93.97/1000</f>
        <v>9.3969999999999998E-2</v>
      </c>
      <c r="I46" s="429">
        <f>J46*1000/3.6</f>
        <v>230.97222222222223</v>
      </c>
      <c r="J46" s="430">
        <v>0.83150000000000002</v>
      </c>
      <c r="L46" s="452" t="s">
        <v>334</v>
      </c>
      <c r="M46" s="449" t="s">
        <v>335</v>
      </c>
      <c r="N46" s="449">
        <v>190</v>
      </c>
      <c r="O46" s="449">
        <v>78</v>
      </c>
      <c r="P46" s="449">
        <v>0.5</v>
      </c>
      <c r="Q46" s="449">
        <v>3</v>
      </c>
      <c r="R46" s="449">
        <v>76</v>
      </c>
      <c r="S46" s="449">
        <v>34</v>
      </c>
    </row>
    <row r="47" spans="1:19" ht="13.8" thickBot="1">
      <c r="A47" s="428" t="s">
        <v>69</v>
      </c>
      <c r="B47" s="395" t="s">
        <v>263</v>
      </c>
      <c r="C47" s="450">
        <f>100/1000000000</f>
        <v>9.9999999999999995E-8</v>
      </c>
      <c r="D47" s="450">
        <v>0</v>
      </c>
      <c r="E47" s="450">
        <f>50/1000000000</f>
        <v>4.9999999999999998E-8</v>
      </c>
      <c r="F47" s="450">
        <f t="shared" si="2"/>
        <v>4.9999999999999998E-8</v>
      </c>
      <c r="G47" s="445">
        <f>10/1000000000</f>
        <v>1E-8</v>
      </c>
      <c r="H47" s="429">
        <v>0</v>
      </c>
      <c r="I47" s="429">
        <v>0</v>
      </c>
      <c r="J47" s="393"/>
      <c r="L47" s="452" t="s">
        <v>336</v>
      </c>
      <c r="M47" s="449" t="s">
        <v>335</v>
      </c>
      <c r="N47" s="449">
        <v>170</v>
      </c>
      <c r="O47" s="449">
        <v>70</v>
      </c>
      <c r="P47" s="449">
        <v>0.5</v>
      </c>
      <c r="Q47" s="449">
        <v>3</v>
      </c>
      <c r="R47" s="449">
        <v>76</v>
      </c>
      <c r="S47" s="449">
        <v>33</v>
      </c>
    </row>
    <row r="48" spans="1:19" ht="27" thickBot="1">
      <c r="A48" s="428" t="s">
        <v>70</v>
      </c>
      <c r="B48" s="395" t="s">
        <v>263</v>
      </c>
      <c r="C48" s="450">
        <f>900/1000000</f>
        <v>8.9999999999999998E-4</v>
      </c>
      <c r="D48" s="450">
        <f>0.5/1000000</f>
        <v>4.9999999999999998E-7</v>
      </c>
      <c r="E48" s="450">
        <f>20/1000000</f>
        <v>2.0000000000000002E-5</v>
      </c>
      <c r="F48" s="450">
        <f t="shared" si="2"/>
        <v>2.0000000000000002E-5</v>
      </c>
      <c r="G48" s="445">
        <f>140/1000000</f>
        <v>1.3999999999999999E-4</v>
      </c>
      <c r="H48" s="429">
        <v>0</v>
      </c>
      <c r="I48" s="429">
        <v>0</v>
      </c>
      <c r="J48" s="393"/>
      <c r="L48" s="452" t="s">
        <v>346</v>
      </c>
      <c r="M48" s="449" t="s">
        <v>338</v>
      </c>
      <c r="N48" s="449">
        <v>93.74</v>
      </c>
      <c r="O48" s="449">
        <v>93.74</v>
      </c>
      <c r="P48" s="449">
        <v>55.82</v>
      </c>
      <c r="Q48" s="449">
        <v>76.59</v>
      </c>
      <c r="R48" s="449">
        <v>0</v>
      </c>
      <c r="S48" s="449">
        <v>0</v>
      </c>
    </row>
    <row r="49" spans="1:19" ht="27" thickBot="1">
      <c r="A49" s="428" t="s">
        <v>71</v>
      </c>
      <c r="B49" s="395" t="s">
        <v>263</v>
      </c>
      <c r="C49" s="450">
        <f>160/1000000</f>
        <v>1.6000000000000001E-4</v>
      </c>
      <c r="D49" s="450">
        <f>70/1000000</f>
        <v>6.9999999999999994E-5</v>
      </c>
      <c r="E49" s="450">
        <f>20/1000000</f>
        <v>2.0000000000000002E-5</v>
      </c>
      <c r="F49" s="450">
        <f t="shared" si="2"/>
        <v>2.0000000000000002E-5</v>
      </c>
      <c r="G49" s="445">
        <f>70/1000000</f>
        <v>6.9999999999999994E-5</v>
      </c>
      <c r="H49" s="429">
        <v>0</v>
      </c>
      <c r="I49" s="429">
        <v>0</v>
      </c>
      <c r="J49" s="393"/>
      <c r="L49" s="452" t="s">
        <v>339</v>
      </c>
      <c r="M49" s="449" t="s">
        <v>340</v>
      </c>
      <c r="N49" s="449">
        <v>100</v>
      </c>
      <c r="O49" s="449">
        <v>7.9000000000000001E-2</v>
      </c>
      <c r="P49" s="449" t="s">
        <v>341</v>
      </c>
      <c r="Q49" s="449">
        <v>10</v>
      </c>
      <c r="R49" s="449">
        <v>50</v>
      </c>
      <c r="S49" s="449">
        <v>10</v>
      </c>
    </row>
    <row r="50" spans="1:19" ht="16.2" thickBot="1">
      <c r="A50" s="433" t="s">
        <v>72</v>
      </c>
      <c r="B50" s="434" t="s">
        <v>263</v>
      </c>
      <c r="C50" s="450">
        <v>2.0116227089852479E-3</v>
      </c>
      <c r="D50" s="450">
        <v>7.5000000000000002E-6</v>
      </c>
      <c r="E50" s="450">
        <v>1.794E-4</v>
      </c>
      <c r="F50" s="445">
        <v>1.794E-4</v>
      </c>
      <c r="G50" s="445">
        <v>1.625355393043083E-5</v>
      </c>
      <c r="H50" s="435">
        <v>0</v>
      </c>
      <c r="I50" s="435">
        <v>0</v>
      </c>
      <c r="J50" s="436"/>
      <c r="L50" s="452" t="s">
        <v>347</v>
      </c>
      <c r="M50" s="449" t="s">
        <v>335</v>
      </c>
      <c r="N50" s="449">
        <v>900</v>
      </c>
      <c r="O50" s="449">
        <v>450</v>
      </c>
      <c r="P50" s="449">
        <v>0.5</v>
      </c>
      <c r="Q50" s="449">
        <v>140</v>
      </c>
      <c r="R50" s="449">
        <v>20</v>
      </c>
      <c r="S50" s="449">
        <v>11</v>
      </c>
    </row>
    <row r="51" spans="1:19" ht="16.2" thickBot="1">
      <c r="L51" s="452" t="s">
        <v>348</v>
      </c>
      <c r="M51" s="449" t="s">
        <v>335</v>
      </c>
      <c r="N51" s="449">
        <v>160</v>
      </c>
      <c r="O51" s="449">
        <v>165</v>
      </c>
      <c r="P51" s="449">
        <v>70</v>
      </c>
      <c r="Q51" s="449">
        <v>70</v>
      </c>
      <c r="R51" s="449">
        <v>150</v>
      </c>
      <c r="S51" s="449">
        <v>91</v>
      </c>
    </row>
    <row r="53" spans="1:19">
      <c r="A53" s="978" t="s">
        <v>273</v>
      </c>
      <c r="B53" s="438">
        <v>0.71</v>
      </c>
      <c r="C53" s="978" t="s">
        <v>276</v>
      </c>
      <c r="D53" s="395">
        <v>2.6</v>
      </c>
      <c r="E53" s="978" t="s">
        <v>275</v>
      </c>
      <c r="F53" s="395">
        <v>3.63</v>
      </c>
      <c r="G53" s="978" t="s">
        <v>277</v>
      </c>
      <c r="H53" s="395">
        <v>15</v>
      </c>
      <c r="J53" s="396" t="s">
        <v>109</v>
      </c>
    </row>
    <row r="54" spans="1:19">
      <c r="A54" s="978"/>
      <c r="C54" s="978"/>
      <c r="E54" s="978"/>
      <c r="G54" s="978"/>
      <c r="J54" s="378" t="s">
        <v>109</v>
      </c>
    </row>
    <row r="55" spans="1:19">
      <c r="A55" s="978"/>
      <c r="C55" s="978"/>
      <c r="E55" s="978"/>
      <c r="G55" s="978"/>
      <c r="J55" s="378" t="s">
        <v>297</v>
      </c>
    </row>
    <row r="56" spans="1:19">
      <c r="A56" s="978"/>
      <c r="C56" s="978"/>
      <c r="E56" s="978"/>
      <c r="G56" s="978"/>
      <c r="J56" s="378" t="s">
        <v>88</v>
      </c>
    </row>
    <row r="57" spans="1:19">
      <c r="J57" s="378" t="s">
        <v>110</v>
      </c>
    </row>
  </sheetData>
  <mergeCells count="31">
    <mergeCell ref="J2:L2"/>
    <mergeCell ref="J11:K11"/>
    <mergeCell ref="A18:A21"/>
    <mergeCell ref="B18:H18"/>
    <mergeCell ref="B19:B21"/>
    <mergeCell ref="C19:D19"/>
    <mergeCell ref="E19:E21"/>
    <mergeCell ref="F19:F21"/>
    <mergeCell ref="G19:H20"/>
    <mergeCell ref="C20:D20"/>
    <mergeCell ref="F30:F32"/>
    <mergeCell ref="G30:H31"/>
    <mergeCell ref="C31:D31"/>
    <mergeCell ref="A41:J41"/>
    <mergeCell ref="A53:A56"/>
    <mergeCell ref="C53:C56"/>
    <mergeCell ref="E53:E56"/>
    <mergeCell ref="G53:G56"/>
    <mergeCell ref="A29:A32"/>
    <mergeCell ref="B29:H29"/>
    <mergeCell ref="B30:B32"/>
    <mergeCell ref="C30:D30"/>
    <mergeCell ref="E30:E32"/>
    <mergeCell ref="L42:L45"/>
    <mergeCell ref="M42:S42"/>
    <mergeCell ref="M43:M45"/>
    <mergeCell ref="N43:O43"/>
    <mergeCell ref="N44:O44"/>
    <mergeCell ref="P43:P45"/>
    <mergeCell ref="Q43:Q45"/>
    <mergeCell ref="R43:S44"/>
  </mergeCells>
  <dataValidations disablePrompts="1" count="1">
    <dataValidation type="list" allowBlank="1" showInputMessage="1" showErrorMessage="1" sqref="E16" xr:uid="{00000000-0002-0000-0100-000000000000}">
      <formula1>$A$4:$A$10</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I37"/>
  <sheetViews>
    <sheetView view="pageBreakPreview" zoomScaleNormal="100" zoomScaleSheetLayoutView="100" workbookViewId="0">
      <selection activeCell="B1" sqref="B1:N30"/>
    </sheetView>
  </sheetViews>
  <sheetFormatPr defaultColWidth="9" defaultRowHeight="13.8"/>
  <cols>
    <col min="1" max="1" width="9" style="39"/>
    <col min="2" max="2" width="4.09765625" style="39" customWidth="1"/>
    <col min="3" max="3" width="20.59765625" style="736" customWidth="1"/>
    <col min="4" max="5" width="8.8984375" style="7" customWidth="1"/>
    <col min="6" max="7" width="8.69921875" style="39" customWidth="1"/>
    <col min="8" max="8" width="5.3984375" style="39" customWidth="1"/>
    <col min="9" max="9" width="6.09765625" style="39" customWidth="1"/>
    <col min="10" max="10" width="7.3984375" style="39" customWidth="1"/>
    <col min="11" max="11" width="9" style="39" bestFit="1" customWidth="1"/>
    <col min="12" max="12" width="6.3984375" style="39" customWidth="1"/>
    <col min="13" max="13" width="6.19921875" style="39" customWidth="1"/>
    <col min="14" max="14" width="6.09765625" style="39" bestFit="1" customWidth="1"/>
    <col min="15" max="15" width="4.59765625" style="39" customWidth="1"/>
    <col min="16" max="16" width="9" style="778" customWidth="1"/>
    <col min="17" max="17" width="9.8984375" style="778" bestFit="1" customWidth="1"/>
    <col min="18" max="18" width="12.09765625" style="778" customWidth="1"/>
    <col min="19" max="21" width="9" style="778"/>
    <col min="22" max="22" width="11.19921875" style="778" customWidth="1"/>
    <col min="23" max="28" width="9" style="778"/>
    <col min="29" max="16384" width="9" style="39"/>
  </cols>
  <sheetData>
    <row r="1" spans="2:35" ht="12.75" customHeight="1">
      <c r="B1" s="1206" t="s">
        <v>461</v>
      </c>
      <c r="C1" s="1207"/>
      <c r="D1" s="1207"/>
      <c r="E1" s="1207"/>
      <c r="F1" s="1207"/>
      <c r="G1" s="1207"/>
      <c r="H1" s="1207"/>
      <c r="I1" s="1207"/>
      <c r="J1" s="1207"/>
      <c r="K1" s="1207"/>
      <c r="L1" s="1207"/>
      <c r="M1" s="1207"/>
      <c r="N1" s="1208"/>
    </row>
    <row r="2" spans="2:35">
      <c r="B2" s="1209" t="s">
        <v>462</v>
      </c>
      <c r="C2" s="1210" t="s">
        <v>463</v>
      </c>
      <c r="D2" s="1211" t="s">
        <v>464</v>
      </c>
      <c r="E2" s="1215" t="s">
        <v>661</v>
      </c>
      <c r="F2" s="1211" t="s">
        <v>465</v>
      </c>
      <c r="G2" s="1215" t="s">
        <v>660</v>
      </c>
      <c r="H2" s="1212" t="s">
        <v>466</v>
      </c>
      <c r="I2" s="1213"/>
      <c r="J2" s="1213"/>
      <c r="K2" s="1213"/>
      <c r="L2" s="1213"/>
      <c r="M2" s="1213"/>
      <c r="N2" s="1214"/>
    </row>
    <row r="3" spans="2:35" ht="37.5" customHeight="1">
      <c r="B3" s="1209"/>
      <c r="C3" s="1210"/>
      <c r="D3" s="1211"/>
      <c r="E3" s="1215"/>
      <c r="F3" s="1211"/>
      <c r="G3" s="1215"/>
      <c r="H3" s="721" t="s">
        <v>66</v>
      </c>
      <c r="I3" s="721" t="s">
        <v>67</v>
      </c>
      <c r="J3" s="722" t="s">
        <v>100</v>
      </c>
      <c r="K3" s="721" t="s">
        <v>69</v>
      </c>
      <c r="L3" s="721" t="s">
        <v>213</v>
      </c>
      <c r="M3" s="721" t="s">
        <v>145</v>
      </c>
      <c r="N3" s="721" t="s">
        <v>72</v>
      </c>
      <c r="Q3" s="777"/>
    </row>
    <row r="4" spans="2:35">
      <c r="B4" s="1218" t="s">
        <v>467</v>
      </c>
      <c r="C4" s="1219"/>
      <c r="D4" s="1220"/>
      <c r="E4" s="1220"/>
      <c r="F4" s="1220"/>
      <c r="G4" s="1220"/>
      <c r="H4" s="1220"/>
      <c r="I4" s="1220"/>
      <c r="J4" s="1220"/>
      <c r="K4" s="1220"/>
      <c r="L4" s="1220"/>
      <c r="M4" s="1220"/>
      <c r="N4" s="1221"/>
      <c r="T4" s="788"/>
      <c r="U4" s="789"/>
    </row>
    <row r="5" spans="2:35" ht="30.6">
      <c r="B5" s="723" t="s">
        <v>554</v>
      </c>
      <c r="C5" s="724" t="s">
        <v>563</v>
      </c>
      <c r="D5" s="725">
        <v>2506.9782659625002</v>
      </c>
      <c r="E5" s="927">
        <f>D5/3.6</f>
        <v>696.38285165625007</v>
      </c>
      <c r="F5" s="725">
        <v>169.2</v>
      </c>
      <c r="G5" s="927">
        <f>F5/3.6</f>
        <v>46.999999999999993</v>
      </c>
      <c r="H5" s="815">
        <v>0.18057600000000001</v>
      </c>
      <c r="I5" s="815">
        <v>0.18057600000000001</v>
      </c>
      <c r="J5" s="816">
        <v>0</v>
      </c>
      <c r="K5" s="815">
        <v>1.1879999999999999E-4</v>
      </c>
      <c r="L5" s="815">
        <v>4.7520000000000007E-2</v>
      </c>
      <c r="M5" s="815">
        <v>4.7520000000000007E-2</v>
      </c>
      <c r="N5" s="815">
        <v>0.42625440000000003</v>
      </c>
      <c r="AI5" s="39">
        <f>S5*30*200</f>
        <v>0</v>
      </c>
    </row>
    <row r="6" spans="2:35" hidden="1">
      <c r="B6" s="723"/>
      <c r="C6" s="724"/>
      <c r="D6" s="817"/>
      <c r="E6" s="930"/>
      <c r="F6" s="818"/>
      <c r="G6" s="927">
        <f t="shared" ref="G6" si="0">F6/3.6</f>
        <v>0</v>
      </c>
      <c r="H6" s="818"/>
      <c r="I6" s="818"/>
      <c r="J6" s="819"/>
      <c r="K6" s="818"/>
      <c r="L6" s="818"/>
      <c r="M6" s="818"/>
      <c r="N6" s="818"/>
    </row>
    <row r="7" spans="2:35">
      <c r="B7" s="726"/>
      <c r="C7" s="727" t="s">
        <v>468</v>
      </c>
      <c r="D7" s="725">
        <f>D5</f>
        <v>2506.9782659625002</v>
      </c>
      <c r="E7" s="927">
        <f>E5</f>
        <v>696.38285165625007</v>
      </c>
      <c r="F7" s="725">
        <f>F5</f>
        <v>169.2</v>
      </c>
      <c r="G7" s="927">
        <f>G5</f>
        <v>46.999999999999993</v>
      </c>
      <c r="H7" s="725">
        <f t="shared" ref="H7:N7" si="1">H5</f>
        <v>0.18057600000000001</v>
      </c>
      <c r="I7" s="725">
        <f t="shared" si="1"/>
        <v>0.18057600000000001</v>
      </c>
      <c r="J7" s="725">
        <f t="shared" si="1"/>
        <v>0</v>
      </c>
      <c r="K7" s="725">
        <f t="shared" si="1"/>
        <v>1.1879999999999999E-4</v>
      </c>
      <c r="L7" s="725">
        <f t="shared" si="1"/>
        <v>4.7520000000000007E-2</v>
      </c>
      <c r="M7" s="725">
        <f t="shared" si="1"/>
        <v>4.7520000000000007E-2</v>
      </c>
      <c r="N7" s="725">
        <f t="shared" si="1"/>
        <v>0.42625440000000003</v>
      </c>
    </row>
    <row r="8" spans="2:35" ht="27.75" hidden="1" customHeight="1">
      <c r="B8" s="1222" t="s">
        <v>559</v>
      </c>
      <c r="C8" s="1223"/>
      <c r="D8" s="1223"/>
      <c r="E8" s="1223"/>
      <c r="F8" s="1223"/>
      <c r="G8" s="1223"/>
      <c r="H8" s="1223"/>
      <c r="I8" s="1223"/>
      <c r="J8" s="1223"/>
      <c r="K8" s="1223"/>
      <c r="L8" s="1223"/>
      <c r="M8" s="1223"/>
      <c r="N8" s="1224"/>
      <c r="W8" s="784"/>
    </row>
    <row r="9" spans="2:35" ht="30.6" hidden="1">
      <c r="B9" s="896" t="s">
        <v>469</v>
      </c>
      <c r="C9" s="728" t="s">
        <v>537</v>
      </c>
      <c r="D9" s="725"/>
      <c r="E9" s="725"/>
      <c r="F9" s="725"/>
      <c r="G9" s="725"/>
      <c r="H9" s="729"/>
      <c r="I9" s="729"/>
      <c r="J9" s="729"/>
      <c r="K9" s="729"/>
      <c r="L9" s="729"/>
      <c r="M9" s="729"/>
      <c r="N9" s="729"/>
      <c r="R9" s="786"/>
      <c r="T9" s="785"/>
      <c r="U9" s="785"/>
      <c r="V9" s="785"/>
      <c r="W9" s="785"/>
      <c r="X9" s="785"/>
      <c r="Y9" s="785"/>
    </row>
    <row r="10" spans="2:35" hidden="1">
      <c r="B10" s="723" t="s">
        <v>470</v>
      </c>
      <c r="C10" s="727" t="s">
        <v>538</v>
      </c>
      <c r="D10" s="725"/>
      <c r="E10" s="725"/>
      <c r="F10" s="725"/>
      <c r="G10" s="725"/>
      <c r="H10" s="729"/>
      <c r="I10" s="729"/>
      <c r="J10" s="729"/>
      <c r="K10" s="729"/>
      <c r="L10" s="729"/>
      <c r="M10" s="729"/>
      <c r="N10" s="729"/>
      <c r="R10" s="786"/>
      <c r="T10" s="785"/>
      <c r="U10" s="785"/>
      <c r="V10" s="785"/>
      <c r="W10" s="790"/>
      <c r="X10" s="785"/>
      <c r="Y10" s="785"/>
    </row>
    <row r="11" spans="2:35" ht="14.25" hidden="1" customHeight="1">
      <c r="B11" s="726"/>
      <c r="C11" s="727" t="s">
        <v>471</v>
      </c>
      <c r="D11" s="725">
        <f t="shared" ref="D11:N11" si="2">SUM(D9:D10)</f>
        <v>0</v>
      </c>
      <c r="E11" s="725">
        <v>0</v>
      </c>
      <c r="F11" s="725">
        <f t="shared" si="2"/>
        <v>0</v>
      </c>
      <c r="G11" s="725">
        <f t="shared" si="2"/>
        <v>0</v>
      </c>
      <c r="H11" s="725">
        <f t="shared" si="2"/>
        <v>0</v>
      </c>
      <c r="I11" s="725">
        <f t="shared" si="2"/>
        <v>0</v>
      </c>
      <c r="J11" s="725">
        <f t="shared" si="2"/>
        <v>0</v>
      </c>
      <c r="K11" s="725">
        <f t="shared" si="2"/>
        <v>0</v>
      </c>
      <c r="L11" s="725">
        <f t="shared" si="2"/>
        <v>0</v>
      </c>
      <c r="M11" s="725">
        <f t="shared" si="2"/>
        <v>0</v>
      </c>
      <c r="N11" s="725">
        <f t="shared" si="2"/>
        <v>0</v>
      </c>
      <c r="R11" s="786"/>
    </row>
    <row r="12" spans="2:35">
      <c r="B12" s="1225" t="s">
        <v>472</v>
      </c>
      <c r="C12" s="1225"/>
      <c r="D12" s="1225"/>
      <c r="E12" s="1225"/>
      <c r="F12" s="1225"/>
      <c r="G12" s="1225"/>
      <c r="H12" s="1225"/>
      <c r="I12" s="1225"/>
      <c r="J12" s="1225"/>
      <c r="K12" s="1225"/>
      <c r="L12" s="1225"/>
      <c r="M12" s="1225"/>
      <c r="N12" s="1225"/>
    </row>
    <row r="13" spans="2:35" ht="20.399999999999999">
      <c r="B13" s="730" t="s">
        <v>646</v>
      </c>
      <c r="C13" s="730" t="s">
        <v>647</v>
      </c>
      <c r="D13" s="725">
        <v>653.40000000000009</v>
      </c>
      <c r="E13" s="927">
        <f>D13/3.6</f>
        <v>181.50000000000003</v>
      </c>
      <c r="F13" s="725">
        <v>0</v>
      </c>
      <c r="G13" s="927">
        <f>F13/3.6</f>
        <v>0</v>
      </c>
      <c r="H13" s="725">
        <v>0.37113119999999999</v>
      </c>
      <c r="I13" s="725">
        <v>0.33105600000000002</v>
      </c>
      <c r="J13" s="725">
        <v>61.249715999999978</v>
      </c>
      <c r="K13" s="725">
        <v>5.8793955660000003E-4</v>
      </c>
      <c r="L13" s="725">
        <v>1.27413</v>
      </c>
      <c r="M13" s="725">
        <v>9.2565000000000008E-2</v>
      </c>
      <c r="N13" s="725">
        <v>1.3143942780509614</v>
      </c>
    </row>
    <row r="14" spans="2:35" ht="20.399999999999999">
      <c r="B14" s="730" t="s">
        <v>648</v>
      </c>
      <c r="C14" s="730" t="s">
        <v>649</v>
      </c>
      <c r="D14" s="725">
        <v>326.70000000000005</v>
      </c>
      <c r="E14" s="927">
        <f t="shared" ref="E14:E21" si="3">D14/3.6</f>
        <v>90.750000000000014</v>
      </c>
      <c r="F14" s="725">
        <v>1089</v>
      </c>
      <c r="G14" s="927">
        <f t="shared" ref="G14:G21" si="4">F14/3.6</f>
        <v>302.5</v>
      </c>
      <c r="H14" s="725">
        <v>0.2213937</v>
      </c>
      <c r="I14" s="725">
        <v>0.19373309999999999</v>
      </c>
      <c r="J14" s="725">
        <v>102.08285999999998</v>
      </c>
      <c r="K14" s="725">
        <v>2.8640700000000002E-4</v>
      </c>
      <c r="L14" s="725">
        <v>0.97171469999999993</v>
      </c>
      <c r="M14" s="725">
        <v>0.1026927</v>
      </c>
      <c r="N14" s="725">
        <v>2.0539005100849352</v>
      </c>
    </row>
    <row r="15" spans="2:35">
      <c r="B15" s="730" t="s">
        <v>650</v>
      </c>
      <c r="C15" s="730" t="s">
        <v>651</v>
      </c>
      <c r="D15" s="725">
        <v>0</v>
      </c>
      <c r="E15" s="927">
        <f t="shared" si="3"/>
        <v>0</v>
      </c>
      <c r="F15" s="725">
        <v>127.57499999999999</v>
      </c>
      <c r="G15" s="927">
        <f t="shared" si="4"/>
        <v>35.437499999999993</v>
      </c>
      <c r="H15" s="725">
        <v>2.8704374999999997E-2</v>
      </c>
      <c r="I15" s="725">
        <v>2.5642574999999997E-2</v>
      </c>
      <c r="J15" s="725">
        <v>11.958880499999998</v>
      </c>
      <c r="K15" s="725">
        <v>3.4445249999999997E-5</v>
      </c>
      <c r="L15" s="725">
        <v>0.11481749999999999</v>
      </c>
      <c r="M15" s="725">
        <v>2.0156849999999997E-2</v>
      </c>
      <c r="N15" s="725">
        <v>0.25663276709879296</v>
      </c>
    </row>
    <row r="16" spans="2:35">
      <c r="B16" s="730" t="s">
        <v>652</v>
      </c>
      <c r="C16" s="730" t="s">
        <v>473</v>
      </c>
      <c r="D16" s="725">
        <v>0</v>
      </c>
      <c r="E16" s="927">
        <f t="shared" si="3"/>
        <v>0</v>
      </c>
      <c r="F16" s="725">
        <v>144.40031999999999</v>
      </c>
      <c r="G16" s="927">
        <f t="shared" si="4"/>
        <v>40.111199999999997</v>
      </c>
      <c r="H16" s="725">
        <v>0</v>
      </c>
      <c r="I16" s="725">
        <v>0</v>
      </c>
      <c r="J16" s="725">
        <v>33.352462799999998</v>
      </c>
      <c r="K16" s="725">
        <v>0</v>
      </c>
      <c r="L16" s="725">
        <v>0</v>
      </c>
      <c r="M16" s="725">
        <v>0</v>
      </c>
      <c r="N16" s="725">
        <v>0</v>
      </c>
    </row>
    <row r="17" spans="2:17" ht="15" customHeight="1">
      <c r="B17" s="730" t="s">
        <v>653</v>
      </c>
      <c r="C17" s="730" t="s">
        <v>474</v>
      </c>
      <c r="D17" s="725">
        <v>0</v>
      </c>
      <c r="E17" s="927">
        <f t="shared" si="3"/>
        <v>0</v>
      </c>
      <c r="F17" s="725">
        <v>326.7</v>
      </c>
      <c r="G17" s="927">
        <f t="shared" si="4"/>
        <v>90.75</v>
      </c>
      <c r="H17" s="725">
        <v>7.350749999999999E-2</v>
      </c>
      <c r="I17" s="725">
        <v>6.5666699999999995E-2</v>
      </c>
      <c r="J17" s="725">
        <v>30.624857999999996</v>
      </c>
      <c r="K17" s="725">
        <v>8.8208999999999995E-5</v>
      </c>
      <c r="L17" s="725">
        <v>0.29402999999999996</v>
      </c>
      <c r="M17" s="725">
        <v>5.1618599999999994E-2</v>
      </c>
      <c r="N17" s="725">
        <v>0.65719713902548049</v>
      </c>
    </row>
    <row r="18" spans="2:17" ht="14.25" hidden="1" customHeight="1">
      <c r="B18" s="723"/>
      <c r="C18" s="730"/>
      <c r="D18" s="725"/>
      <c r="E18" s="927">
        <f t="shared" si="3"/>
        <v>0</v>
      </c>
      <c r="F18" s="725"/>
      <c r="G18" s="927">
        <f t="shared" si="4"/>
        <v>0</v>
      </c>
      <c r="H18" s="725"/>
      <c r="I18" s="725"/>
      <c r="J18" s="725"/>
      <c r="K18" s="725"/>
      <c r="L18" s="725"/>
      <c r="M18" s="725"/>
      <c r="N18" s="725"/>
    </row>
    <row r="19" spans="2:17" ht="14.25" hidden="1" customHeight="1">
      <c r="B19" s="723"/>
      <c r="C19" s="730"/>
      <c r="D19" s="725"/>
      <c r="E19" s="927">
        <f t="shared" si="3"/>
        <v>0</v>
      </c>
      <c r="F19" s="725"/>
      <c r="G19" s="927">
        <f t="shared" si="4"/>
        <v>0</v>
      </c>
      <c r="H19" s="725"/>
      <c r="I19" s="725"/>
      <c r="J19" s="725"/>
      <c r="K19" s="725"/>
      <c r="L19" s="725"/>
      <c r="M19" s="725"/>
      <c r="N19" s="725"/>
    </row>
    <row r="20" spans="2:17" ht="14.25" hidden="1" customHeight="1">
      <c r="B20" s="723"/>
      <c r="C20" s="730"/>
      <c r="D20" s="725"/>
      <c r="E20" s="927">
        <f t="shared" si="3"/>
        <v>0</v>
      </c>
      <c r="F20" s="725"/>
      <c r="G20" s="927">
        <f t="shared" si="4"/>
        <v>0</v>
      </c>
      <c r="H20" s="725"/>
      <c r="I20" s="725"/>
      <c r="J20" s="725"/>
      <c r="K20" s="725"/>
      <c r="L20" s="725"/>
      <c r="M20" s="725"/>
      <c r="N20" s="725"/>
    </row>
    <row r="21" spans="2:17" hidden="1">
      <c r="B21" s="723"/>
      <c r="C21" s="730"/>
      <c r="D21" s="725"/>
      <c r="E21" s="927">
        <f t="shared" si="3"/>
        <v>0</v>
      </c>
      <c r="F21" s="725"/>
      <c r="G21" s="927">
        <f t="shared" si="4"/>
        <v>0</v>
      </c>
      <c r="H21" s="725"/>
      <c r="I21" s="725"/>
      <c r="J21" s="725"/>
      <c r="K21" s="725"/>
      <c r="L21" s="725"/>
      <c r="M21" s="725"/>
      <c r="N21" s="725"/>
    </row>
    <row r="22" spans="2:17">
      <c r="B22" s="726"/>
      <c r="C22" s="727" t="s">
        <v>475</v>
      </c>
      <c r="D22" s="725">
        <f t="shared" ref="D22:N22" si="5">SUM(D13:D21)</f>
        <v>980.10000000000014</v>
      </c>
      <c r="E22" s="927">
        <f t="shared" si="5"/>
        <v>272.25000000000006</v>
      </c>
      <c r="F22" s="725">
        <f t="shared" si="5"/>
        <v>1687.6753200000001</v>
      </c>
      <c r="G22" s="927">
        <f t="shared" si="5"/>
        <v>468.7987</v>
      </c>
      <c r="H22" s="725">
        <f t="shared" si="5"/>
        <v>0.69473677499999997</v>
      </c>
      <c r="I22" s="725">
        <f t="shared" si="5"/>
        <v>0.61609837499999998</v>
      </c>
      <c r="J22" s="725">
        <f t="shared" si="5"/>
        <v>239.26877729999993</v>
      </c>
      <c r="K22" s="725">
        <f t="shared" si="5"/>
        <v>9.9700080659999996E-4</v>
      </c>
      <c r="L22" s="725">
        <f t="shared" si="5"/>
        <v>2.6546921999999999</v>
      </c>
      <c r="M22" s="725">
        <f t="shared" si="5"/>
        <v>0.26703315</v>
      </c>
      <c r="N22" s="725">
        <f t="shared" si="5"/>
        <v>4.2821246942601707</v>
      </c>
      <c r="P22" s="731"/>
    </row>
    <row r="23" spans="2:17">
      <c r="B23" s="1226" t="s">
        <v>476</v>
      </c>
      <c r="C23" s="1227"/>
      <c r="D23" s="732">
        <f t="shared" ref="D23:N23" si="6">+D7+D11+D22</f>
        <v>3487.0782659625002</v>
      </c>
      <c r="E23" s="928">
        <f t="shared" si="6"/>
        <v>968.63285165625007</v>
      </c>
      <c r="F23" s="732">
        <f t="shared" si="6"/>
        <v>1856.8753200000001</v>
      </c>
      <c r="G23" s="928">
        <f>+G7+G11+G22</f>
        <v>515.79869999999994</v>
      </c>
      <c r="H23" s="732">
        <f t="shared" si="6"/>
        <v>0.87531277500000004</v>
      </c>
      <c r="I23" s="732">
        <f t="shared" si="6"/>
        <v>0.79667437500000005</v>
      </c>
      <c r="J23" s="732">
        <f t="shared" si="6"/>
        <v>239.26877729999993</v>
      </c>
      <c r="K23" s="732">
        <f t="shared" si="6"/>
        <v>1.1158008066E-3</v>
      </c>
      <c r="L23" s="732">
        <f t="shared" si="6"/>
        <v>2.7022122</v>
      </c>
      <c r="M23" s="732">
        <f t="shared" si="6"/>
        <v>0.31455315</v>
      </c>
      <c r="N23" s="732">
        <f t="shared" si="6"/>
        <v>4.7083790942601711</v>
      </c>
    </row>
    <row r="24" spans="2:17" ht="12.75" customHeight="1">
      <c r="B24" s="1206" t="s">
        <v>477</v>
      </c>
      <c r="C24" s="1207"/>
      <c r="D24" s="1207"/>
      <c r="E24" s="1207"/>
      <c r="F24" s="1207"/>
      <c r="G24" s="1207"/>
      <c r="H24" s="1207"/>
      <c r="I24" s="1207"/>
      <c r="J24" s="1207"/>
      <c r="K24" s="1207"/>
      <c r="L24" s="1207"/>
      <c r="M24" s="1207"/>
      <c r="N24" s="1208"/>
    </row>
    <row r="25" spans="2:17" ht="14.25" customHeight="1">
      <c r="B25" s="1217" t="s">
        <v>478</v>
      </c>
      <c r="C25" s="1217"/>
      <c r="D25" s="1211" t="s">
        <v>479</v>
      </c>
      <c r="E25" s="1215" t="s">
        <v>661</v>
      </c>
      <c r="F25" s="1211" t="s">
        <v>480</v>
      </c>
      <c r="G25" s="1215" t="s">
        <v>660</v>
      </c>
      <c r="H25" s="1228" t="s">
        <v>481</v>
      </c>
      <c r="I25" s="1228"/>
      <c r="J25" s="1228"/>
      <c r="K25" s="1228"/>
      <c r="L25" s="1228"/>
      <c r="M25" s="1228"/>
      <c r="N25" s="1228"/>
    </row>
    <row r="26" spans="2:17" ht="39" customHeight="1">
      <c r="B26" s="1217"/>
      <c r="C26" s="1217"/>
      <c r="D26" s="1211"/>
      <c r="E26" s="1215"/>
      <c r="F26" s="1211"/>
      <c r="G26" s="1215"/>
      <c r="H26" s="831" t="s">
        <v>66</v>
      </c>
      <c r="I26" s="831" t="s">
        <v>67</v>
      </c>
      <c r="J26" s="832" t="s">
        <v>100</v>
      </c>
      <c r="K26" s="831" t="s">
        <v>69</v>
      </c>
      <c r="L26" s="831" t="s">
        <v>213</v>
      </c>
      <c r="M26" s="831" t="s">
        <v>145</v>
      </c>
      <c r="N26" s="831" t="s">
        <v>72</v>
      </c>
    </row>
    <row r="27" spans="2:17">
      <c r="B27" s="1216" t="s">
        <v>482</v>
      </c>
      <c r="C27" s="1216"/>
      <c r="D27" s="733">
        <f>'Struktura paliw łącznie'!M13</f>
        <v>141695.33030099972</v>
      </c>
      <c r="E27" s="929">
        <f>D27/3.6</f>
        <v>39359.81397249992</v>
      </c>
      <c r="F27" s="733">
        <f>'Struktura paliw łącznie'!M6+'Struktura paliw łącznie'!M7</f>
        <v>22905.306142840254</v>
      </c>
      <c r="G27" s="929">
        <f>F27/3.6</f>
        <v>6362.5850396778478</v>
      </c>
      <c r="H27" s="733">
        <f>'Łączna emisja'!C12</f>
        <v>25.245643977470372</v>
      </c>
      <c r="I27" s="733">
        <f>'Łączna emisja'!D12</f>
        <v>23.447757543597717</v>
      </c>
      <c r="J27" s="733">
        <f>'Łączna emisja'!E12</f>
        <v>11862.744128606657</v>
      </c>
      <c r="K27" s="733">
        <f>'Łączna emisja'!F12</f>
        <v>2.0348218027551792E-2</v>
      </c>
      <c r="L27" s="733">
        <f>'Łączna emisja'!G12</f>
        <v>60.138414572386111</v>
      </c>
      <c r="M27" s="733">
        <f>'Łączna emisja'!H12</f>
        <v>28.662175015052178</v>
      </c>
      <c r="N27" s="733">
        <f>'Łączna emisja'!I12</f>
        <v>185.59583392758364</v>
      </c>
      <c r="Q27" s="787"/>
    </row>
    <row r="28" spans="2:17">
      <c r="B28" s="1216" t="s">
        <v>483</v>
      </c>
      <c r="C28" s="1216"/>
      <c r="D28" s="733">
        <f>D27-D23</f>
        <v>138208.25203503721</v>
      </c>
      <c r="E28" s="929">
        <f t="shared" ref="E28:E29" si="7">D28/3.6</f>
        <v>38391.18112084367</v>
      </c>
      <c r="F28" s="733">
        <f>F23+F27</f>
        <v>24762.181462840254</v>
      </c>
      <c r="G28" s="929">
        <f>F28/3.6</f>
        <v>6878.3837396778481</v>
      </c>
      <c r="H28" s="733">
        <f>H27-H23</f>
        <v>24.370331202470371</v>
      </c>
      <c r="I28" s="733">
        <f t="shared" ref="I28:N28" si="8">I27-I23</f>
        <v>22.651083168597719</v>
      </c>
      <c r="J28" s="733">
        <f t="shared" si="8"/>
        <v>11623.475351306657</v>
      </c>
      <c r="K28" s="733">
        <f t="shared" si="8"/>
        <v>1.9232417220951793E-2</v>
      </c>
      <c r="L28" s="733">
        <f t="shared" si="8"/>
        <v>57.436202372386113</v>
      </c>
      <c r="M28" s="733">
        <f t="shared" si="8"/>
        <v>28.347621865052179</v>
      </c>
      <c r="N28" s="733">
        <f t="shared" si="8"/>
        <v>180.88745483332346</v>
      </c>
    </row>
    <row r="29" spans="2:17">
      <c r="B29" s="1216" t="s">
        <v>484</v>
      </c>
      <c r="C29" s="1216"/>
      <c r="D29" s="733">
        <f>D27-D28</f>
        <v>3487.0782659625111</v>
      </c>
      <c r="E29" s="929">
        <f>D29/3.6</f>
        <v>968.63285165625302</v>
      </c>
      <c r="F29" s="733">
        <f>+F28-F27</f>
        <v>1856.8753199999992</v>
      </c>
      <c r="G29" s="929">
        <f>F29/3.6</f>
        <v>515.79869999999971</v>
      </c>
      <c r="H29" s="733">
        <f>H27-H28</f>
        <v>0.87531277500000115</v>
      </c>
      <c r="I29" s="733">
        <f t="shared" ref="I29:N29" si="9">I27-I28</f>
        <v>0.79667437499999849</v>
      </c>
      <c r="J29" s="733">
        <f t="shared" si="9"/>
        <v>239.26877729999978</v>
      </c>
      <c r="K29" s="734">
        <f t="shared" si="9"/>
        <v>1.1158008065999987E-3</v>
      </c>
      <c r="L29" s="733">
        <f t="shared" si="9"/>
        <v>2.7022121999999982</v>
      </c>
      <c r="M29" s="733">
        <f t="shared" si="9"/>
        <v>0.31455314999999828</v>
      </c>
      <c r="N29" s="733">
        <f t="shared" si="9"/>
        <v>4.7083790942601809</v>
      </c>
    </row>
    <row r="30" spans="2:17" ht="50.25" customHeight="1">
      <c r="B30" s="1216" t="s">
        <v>485</v>
      </c>
      <c r="C30" s="1216"/>
      <c r="D30" s="735">
        <f>D23/D27</f>
        <v>2.4609690796125676E-2</v>
      </c>
      <c r="E30" s="924">
        <f>E23/E27</f>
        <v>2.4609690796125676E-2</v>
      </c>
      <c r="F30" s="735">
        <f>-(F27/D27)+(F28/D28)</f>
        <v>1.7513916760572734E-2</v>
      </c>
      <c r="G30" s="924">
        <f>F30</f>
        <v>1.7513916760572734E-2</v>
      </c>
      <c r="H30" s="735">
        <f>H23/H27</f>
        <v>3.4671833912462029E-2</v>
      </c>
      <c r="I30" s="735">
        <f t="shared" ref="I30:N30" si="10">I23/I27</f>
        <v>3.3976569977691863E-2</v>
      </c>
      <c r="J30" s="924">
        <f>J23/J27</f>
        <v>2.0169766346305181E-2</v>
      </c>
      <c r="K30" s="735">
        <f t="shared" si="10"/>
        <v>5.4835308187143904E-2</v>
      </c>
      <c r="L30" s="735">
        <f t="shared" si="10"/>
        <v>4.4933213141950382E-2</v>
      </c>
      <c r="M30" s="735">
        <f t="shared" si="10"/>
        <v>1.0974503848183532E-2</v>
      </c>
      <c r="N30" s="735">
        <f t="shared" si="10"/>
        <v>2.5368991289412786E-2</v>
      </c>
    </row>
    <row r="31" spans="2:17">
      <c r="B31" s="835"/>
      <c r="C31" s="835"/>
      <c r="D31" s="836"/>
      <c r="E31" s="836"/>
      <c r="F31" s="925"/>
      <c r="G31" s="925"/>
      <c r="H31" s="836"/>
      <c r="I31" s="836"/>
      <c r="J31" s="836"/>
      <c r="K31" s="836"/>
      <c r="L31" s="836"/>
      <c r="M31" s="836"/>
      <c r="N31" s="836"/>
    </row>
    <row r="32" spans="2:17">
      <c r="B32" s="829" t="s">
        <v>567</v>
      </c>
      <c r="C32" s="835"/>
      <c r="D32" s="836"/>
      <c r="E32" s="836"/>
      <c r="F32" s="836"/>
      <c r="G32" s="836"/>
      <c r="H32" s="836"/>
      <c r="I32" s="836"/>
      <c r="J32" s="836"/>
      <c r="K32" s="830">
        <f>J28</f>
        <v>11623.475351306657</v>
      </c>
      <c r="L32" s="836"/>
      <c r="M32" s="836"/>
      <c r="N32" s="836"/>
    </row>
    <row r="33" spans="2:14">
      <c r="B33" s="829" t="s">
        <v>654</v>
      </c>
      <c r="C33" s="835"/>
      <c r="D33" s="837"/>
      <c r="E33" s="837"/>
      <c r="F33" s="836"/>
      <c r="G33" s="836"/>
      <c r="H33" s="836"/>
      <c r="I33" s="836"/>
      <c r="J33" s="836"/>
      <c r="K33" s="830">
        <f>D28/3.6</f>
        <v>38391.18112084367</v>
      </c>
      <c r="L33" s="836"/>
      <c r="M33" s="836"/>
      <c r="N33" s="836"/>
    </row>
    <row r="34" spans="2:14">
      <c r="B34" s="829" t="s">
        <v>564</v>
      </c>
      <c r="C34" s="833"/>
      <c r="D34" s="833"/>
      <c r="E34" s="833"/>
      <c r="F34" s="833"/>
      <c r="G34" s="833"/>
      <c r="H34" s="833"/>
      <c r="I34" s="833"/>
      <c r="J34" s="833"/>
      <c r="K34" s="932">
        <f>F28/D28</f>
        <v>0.17916572345161264</v>
      </c>
      <c r="L34" s="833"/>
      <c r="M34" s="833"/>
      <c r="N34" s="833"/>
    </row>
    <row r="35" spans="2:14">
      <c r="B35" s="829" t="s">
        <v>655</v>
      </c>
      <c r="C35" s="828"/>
      <c r="D35" s="828"/>
      <c r="E35" s="828"/>
      <c r="F35" s="828"/>
      <c r="G35" s="828"/>
      <c r="H35" s="828"/>
      <c r="I35" s="828"/>
      <c r="J35" s="828"/>
      <c r="K35" s="926">
        <f>F28/3.6</f>
        <v>6878.3837396778481</v>
      </c>
      <c r="L35" s="828"/>
      <c r="M35" s="828"/>
      <c r="N35" s="828"/>
    </row>
    <row r="36" spans="2:14">
      <c r="B36" s="829" t="s">
        <v>656</v>
      </c>
      <c r="K36" s="830">
        <f>D29/3.6</f>
        <v>968.63285165625302</v>
      </c>
    </row>
    <row r="37" spans="2:14">
      <c r="B37" s="829" t="s">
        <v>657</v>
      </c>
      <c r="K37" s="926">
        <f>F29/3.6</f>
        <v>515.79869999999971</v>
      </c>
    </row>
  </sheetData>
  <mergeCells count="23">
    <mergeCell ref="B29:C29"/>
    <mergeCell ref="B30:C30"/>
    <mergeCell ref="B25:C26"/>
    <mergeCell ref="D25:D26"/>
    <mergeCell ref="B4:N4"/>
    <mergeCell ref="B8:N8"/>
    <mergeCell ref="B12:N12"/>
    <mergeCell ref="B23:C23"/>
    <mergeCell ref="F25:F26"/>
    <mergeCell ref="H25:N25"/>
    <mergeCell ref="B27:C27"/>
    <mergeCell ref="B28:C28"/>
    <mergeCell ref="B24:N24"/>
    <mergeCell ref="G25:G26"/>
    <mergeCell ref="E25:E26"/>
    <mergeCell ref="B1:N1"/>
    <mergeCell ref="B2:B3"/>
    <mergeCell ref="C2:C3"/>
    <mergeCell ref="D2:D3"/>
    <mergeCell ref="F2:F3"/>
    <mergeCell ref="H2:N2"/>
    <mergeCell ref="G2:G3"/>
    <mergeCell ref="E2:E3"/>
  </mergeCells>
  <pageMargins left="0.7" right="0.7" top="0.75" bottom="0.75" header="0.3" footer="0.3"/>
  <pageSetup paperSize="9" scale="9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BFBFC-307C-44F6-9A9D-28BD885A0B24}">
  <dimension ref="C4:O11"/>
  <sheetViews>
    <sheetView tabSelected="1" workbookViewId="0">
      <pane ySplit="6" topLeftCell="A7" activePane="bottomLeft" state="frozen"/>
      <selection pane="bottomLeft" activeCell="E10" sqref="E10:O10"/>
    </sheetView>
  </sheetViews>
  <sheetFormatPr defaultRowHeight="13.8"/>
  <cols>
    <col min="5" max="8" width="15" customWidth="1"/>
    <col min="9" max="9" width="8.5" customWidth="1"/>
    <col min="10" max="10" width="9.3984375" customWidth="1"/>
    <col min="11" max="11" width="8.5" customWidth="1"/>
    <col min="12" max="13" width="6.8984375" customWidth="1"/>
    <col min="14" max="14" width="8.296875" customWidth="1"/>
    <col min="15" max="15" width="8.69921875" customWidth="1"/>
  </cols>
  <sheetData>
    <row r="4" spans="3:15">
      <c r="C4" s="1281" t="s">
        <v>477</v>
      </c>
      <c r="D4" s="1282"/>
      <c r="E4" s="1282"/>
      <c r="F4" s="1282"/>
      <c r="G4" s="1282"/>
      <c r="H4" s="1282"/>
      <c r="I4" s="1282"/>
      <c r="J4" s="1282"/>
      <c r="K4" s="1282"/>
      <c r="L4" s="1282"/>
      <c r="M4" s="1282"/>
      <c r="N4" s="1282"/>
      <c r="O4" s="1283"/>
    </row>
    <row r="5" spans="3:15" ht="13.8" customHeight="1">
      <c r="C5" s="1237" t="s">
        <v>478</v>
      </c>
      <c r="D5" s="1237"/>
      <c r="E5" s="1280" t="s">
        <v>479</v>
      </c>
      <c r="F5" s="1280" t="s">
        <v>661</v>
      </c>
      <c r="G5" s="1280" t="s">
        <v>480</v>
      </c>
      <c r="H5" s="1280" t="s">
        <v>660</v>
      </c>
      <c r="I5" s="1284" t="s">
        <v>481</v>
      </c>
      <c r="J5" s="1284"/>
      <c r="K5" s="1284"/>
      <c r="L5" s="1284"/>
      <c r="M5" s="1284"/>
      <c r="N5" s="1284"/>
      <c r="O5" s="1284"/>
    </row>
    <row r="6" spans="3:15" ht="30.6" customHeight="1">
      <c r="C6" s="1237"/>
      <c r="D6" s="1237"/>
      <c r="E6" s="1280"/>
      <c r="F6" s="1280"/>
      <c r="G6" s="1280"/>
      <c r="H6" s="1280"/>
      <c r="I6" s="1285" t="s">
        <v>66</v>
      </c>
      <c r="J6" s="1285" t="s">
        <v>67</v>
      </c>
      <c r="K6" s="933" t="s">
        <v>100</v>
      </c>
      <c r="L6" s="1285" t="s">
        <v>69</v>
      </c>
      <c r="M6" s="1285" t="s">
        <v>213</v>
      </c>
      <c r="N6" s="1285" t="s">
        <v>145</v>
      </c>
      <c r="O6" s="1285" t="s">
        <v>72</v>
      </c>
    </row>
    <row r="7" spans="3:15" ht="28.2" customHeight="1">
      <c r="C7" s="1277" t="s">
        <v>482</v>
      </c>
      <c r="D7" s="1277"/>
      <c r="E7" s="1278">
        <f>'Efekt ekologiczny 2020'!D27</f>
        <v>141695.33030099972</v>
      </c>
      <c r="F7" s="1278">
        <f>'Efekt ekologiczny 2020'!E27</f>
        <v>39359.81397249992</v>
      </c>
      <c r="G7" s="1278">
        <f>'Efekt ekologiczny 2020'!F27</f>
        <v>22905.306142840254</v>
      </c>
      <c r="H7" s="1278">
        <f>'Efekt ekologiczny 2020'!G27</f>
        <v>6362.5850396778478</v>
      </c>
      <c r="I7" s="1278">
        <f>'Efekt ekologiczny 2020'!H27</f>
        <v>25.245643977470372</v>
      </c>
      <c r="J7" s="1278">
        <f>'Efekt ekologiczny 2020'!I27</f>
        <v>23.447757543597717</v>
      </c>
      <c r="K7" s="1278">
        <f>'Efekt ekologiczny 2020'!J27</f>
        <v>11862.744128606657</v>
      </c>
      <c r="L7" s="1278">
        <f>'Efekt ekologiczny 2020'!K27</f>
        <v>2.0348218027551792E-2</v>
      </c>
      <c r="M7" s="1278">
        <f>'Efekt ekologiczny 2020'!L27</f>
        <v>60.138414572386111</v>
      </c>
      <c r="N7" s="1278">
        <f>'Efekt ekologiczny 2020'!M27</f>
        <v>28.662175015052178</v>
      </c>
      <c r="O7" s="1278">
        <f>'Efekt ekologiczny 2020'!N27</f>
        <v>185.59583392758364</v>
      </c>
    </row>
    <row r="8" spans="3:15" ht="22.2" customHeight="1">
      <c r="C8" s="1277" t="s">
        <v>483</v>
      </c>
      <c r="D8" s="1277"/>
      <c r="E8" s="1278">
        <f>'Efekt ekologiczny 2020'!D28</f>
        <v>138208.25203503721</v>
      </c>
      <c r="F8" s="1278">
        <f>'Efekt ekologiczny 2020'!E28</f>
        <v>38391.18112084367</v>
      </c>
      <c r="G8" s="1278">
        <f>'Efekt ekologiczny 2020'!F28</f>
        <v>24762.181462840254</v>
      </c>
      <c r="H8" s="1278">
        <f>'Efekt ekologiczny 2020'!G28</f>
        <v>6878.3837396778481</v>
      </c>
      <c r="I8" s="1278">
        <f>'Efekt ekologiczny 2020'!H28</f>
        <v>24.370331202470371</v>
      </c>
      <c r="J8" s="1278">
        <f>'Efekt ekologiczny 2020'!I28</f>
        <v>22.651083168597719</v>
      </c>
      <c r="K8" s="1278">
        <f>'Efekt ekologiczny 2020'!J28</f>
        <v>11623.475351306657</v>
      </c>
      <c r="L8" s="1278">
        <f>'Efekt ekologiczny 2020'!K28</f>
        <v>1.9232417220951793E-2</v>
      </c>
      <c r="M8" s="1278">
        <f>'Efekt ekologiczny 2020'!L28</f>
        <v>57.436202372386113</v>
      </c>
      <c r="N8" s="1278">
        <f>'Efekt ekologiczny 2020'!M28</f>
        <v>28.347621865052179</v>
      </c>
      <c r="O8" s="1278">
        <f>'Efekt ekologiczny 2020'!N28</f>
        <v>180.88745483332346</v>
      </c>
    </row>
    <row r="9" spans="3:15" ht="22.2" customHeight="1">
      <c r="C9" s="1277" t="s">
        <v>662</v>
      </c>
      <c r="D9" s="1277"/>
      <c r="E9" s="1278">
        <f>F9*3.6</f>
        <v>132037.85203503721</v>
      </c>
      <c r="F9" s="1278">
        <f>F8-'DZIAŁANIA 2021-2023'!J6</f>
        <v>36677.18112084367</v>
      </c>
      <c r="G9" s="1278">
        <f>H9*3.6</f>
        <v>26141.737462840254</v>
      </c>
      <c r="H9" s="1278">
        <f>H8+'DZIAŁANIA 2021-2023'!K6</f>
        <v>7261.5937396778481</v>
      </c>
      <c r="I9" s="1278">
        <f>I8-'DZIAŁANIA 2021-2023'!M6</f>
        <v>24.18940898024815</v>
      </c>
      <c r="J9" s="1278">
        <f>J8-'DZIAŁANIA 2021-2023'!N6</f>
        <v>22.47968316859772</v>
      </c>
      <c r="K9" s="1278">
        <f>K8-'DZIAŁANIA 2021-2023'!I6</f>
        <v>11106.745351306658</v>
      </c>
      <c r="L9" s="1278">
        <f>L8-'DZIAŁANIA 2021-2023'!L6</f>
        <v>1.9103867220951792E-2</v>
      </c>
      <c r="M9" s="1278">
        <f t="shared" ref="J9:O9" si="0">M8</f>
        <v>57.436202372386113</v>
      </c>
      <c r="N9" s="1278">
        <f t="shared" si="0"/>
        <v>28.347621865052179</v>
      </c>
      <c r="O9" s="1278">
        <f t="shared" si="0"/>
        <v>180.88745483332346</v>
      </c>
    </row>
    <row r="10" spans="3:15" ht="30" customHeight="1">
      <c r="C10" s="1277" t="s">
        <v>663</v>
      </c>
      <c r="D10" s="1277"/>
      <c r="E10" s="1278">
        <f>E9-E7</f>
        <v>-9657.4782659625052</v>
      </c>
      <c r="F10" s="1278">
        <f t="shared" ref="F10:O10" si="1">F9-F7</f>
        <v>-2682.6328516562498</v>
      </c>
      <c r="G10" s="1278">
        <f t="shared" si="1"/>
        <v>3236.4313199999997</v>
      </c>
      <c r="H10" s="1278">
        <f t="shared" si="1"/>
        <v>899.00870000000032</v>
      </c>
      <c r="I10" s="1278">
        <f t="shared" si="1"/>
        <v>-1.0562349972222229</v>
      </c>
      <c r="J10" s="1278">
        <f t="shared" si="1"/>
        <v>-0.96807437499999693</v>
      </c>
      <c r="K10" s="1278">
        <f t="shared" si="1"/>
        <v>-755.99877729999935</v>
      </c>
      <c r="L10" s="1278">
        <f t="shared" si="1"/>
        <v>-1.2443508066000003E-3</v>
      </c>
      <c r="M10" s="1278">
        <f t="shared" si="1"/>
        <v>-2.7022121999999982</v>
      </c>
      <c r="N10" s="1278">
        <f t="shared" si="1"/>
        <v>-0.31455314999999828</v>
      </c>
      <c r="O10" s="1278">
        <f t="shared" si="1"/>
        <v>-4.7083790942601809</v>
      </c>
    </row>
    <row r="11" spans="3:15" ht="103.2" customHeight="1">
      <c r="C11" s="1277" t="s">
        <v>664</v>
      </c>
      <c r="D11" s="1277"/>
      <c r="E11" s="1279">
        <f>E10/E7</f>
        <v>-6.8156644579940459E-2</v>
      </c>
      <c r="F11" s="1279">
        <f>F10/F7</f>
        <v>-6.8156644579940417E-2</v>
      </c>
      <c r="G11" s="1286">
        <f>-(G7/E7)+(G9/E9)</f>
        <v>3.6334884700329834E-2</v>
      </c>
      <c r="H11" s="1279">
        <f>G11</f>
        <v>3.6334884700329834E-2</v>
      </c>
      <c r="I11" s="1279">
        <f>I10/I7</f>
        <v>-4.1838306765508711E-2</v>
      </c>
      <c r="J11" s="1279">
        <f>J10/J7</f>
        <v>-4.1286437442898428E-2</v>
      </c>
      <c r="K11" s="1279">
        <f t="shared" ref="F11:O11" si="2">K10/K7</f>
        <v>-6.3728827757224452E-2</v>
      </c>
      <c r="L11" s="1279">
        <f t="shared" si="2"/>
        <v>-6.1152814704222784E-2</v>
      </c>
      <c r="M11" s="1279">
        <f t="shared" si="2"/>
        <v>-4.4933213141950354E-2</v>
      </c>
      <c r="N11" s="1279">
        <f t="shared" si="2"/>
        <v>-1.0974503848183471E-2</v>
      </c>
      <c r="O11" s="1279">
        <f t="shared" si="2"/>
        <v>-2.5368991289412838E-2</v>
      </c>
    </row>
  </sheetData>
  <mergeCells count="12">
    <mergeCell ref="C7:D7"/>
    <mergeCell ref="C8:D8"/>
    <mergeCell ref="C10:D10"/>
    <mergeCell ref="C11:D11"/>
    <mergeCell ref="C9:D9"/>
    <mergeCell ref="F5:F6"/>
    <mergeCell ref="C4:O4"/>
    <mergeCell ref="C5:D6"/>
    <mergeCell ref="E5:E6"/>
    <mergeCell ref="G5:G6"/>
    <mergeCell ref="H5:H6"/>
    <mergeCell ref="I5:O5"/>
  </mergeCells>
  <phoneticPr fontId="113" type="noConversion"/>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7ECB7-2F72-4A3F-BB12-C93FD86272F0}">
  <dimension ref="A1:N50"/>
  <sheetViews>
    <sheetView workbookViewId="0">
      <selection activeCell="B3" sqref="B3:N11"/>
    </sheetView>
  </sheetViews>
  <sheetFormatPr defaultRowHeight="13.8"/>
  <cols>
    <col min="2" max="2" width="4.3984375" style="1288" customWidth="1"/>
    <col min="3" max="3" width="26" style="1288" customWidth="1"/>
    <col min="4" max="4" width="42.3984375" style="1288" customWidth="1"/>
    <col min="5" max="5" width="15.5" style="1288" customWidth="1"/>
    <col min="6" max="6" width="8.796875" style="1288"/>
    <col min="7" max="7" width="15.09765625" style="1288" customWidth="1"/>
    <col min="8" max="8" width="22.69921875" style="1288" customWidth="1"/>
    <col min="9" max="11" width="13.796875" style="1288" customWidth="1"/>
    <col min="12" max="13" width="11.296875" customWidth="1"/>
  </cols>
  <sheetData>
    <row r="1" spans="1:14" ht="14.4">
      <c r="A1" s="1287"/>
    </row>
    <row r="2" spans="1:14" ht="14.4">
      <c r="A2" s="1287"/>
    </row>
    <row r="3" spans="1:14" ht="55.2" customHeight="1">
      <c r="A3" s="1287"/>
      <c r="B3" s="1289" t="s">
        <v>462</v>
      </c>
      <c r="C3" s="1289" t="s">
        <v>665</v>
      </c>
      <c r="D3" s="1289" t="s">
        <v>478</v>
      </c>
      <c r="E3" s="1289" t="s">
        <v>666</v>
      </c>
      <c r="F3" s="1289" t="s">
        <v>667</v>
      </c>
      <c r="G3" s="1289" t="s">
        <v>668</v>
      </c>
      <c r="H3" s="1289" t="s">
        <v>669</v>
      </c>
      <c r="I3" s="1289" t="s">
        <v>670</v>
      </c>
      <c r="J3" s="1289" t="s">
        <v>671</v>
      </c>
      <c r="K3" s="1289" t="s">
        <v>672</v>
      </c>
      <c r="L3" s="1290" t="s">
        <v>673</v>
      </c>
      <c r="M3" s="1290"/>
      <c r="N3" s="1290"/>
    </row>
    <row r="4" spans="1:14" ht="14.4">
      <c r="A4" s="1287"/>
      <c r="B4" s="1289"/>
      <c r="C4" s="1289"/>
      <c r="D4" s="1289"/>
      <c r="E4" s="1289"/>
      <c r="F4" s="1289"/>
      <c r="G4" s="1289"/>
      <c r="H4" s="1289"/>
      <c r="I4" s="1289"/>
      <c r="J4" s="1289"/>
      <c r="K4" s="1289"/>
      <c r="L4" s="1289" t="s">
        <v>69</v>
      </c>
      <c r="M4" s="1289" t="s">
        <v>674</v>
      </c>
      <c r="N4" s="1289" t="s">
        <v>377</v>
      </c>
    </row>
    <row r="5" spans="1:14" ht="14.4" customHeight="1">
      <c r="A5" s="1287"/>
      <c r="B5" s="1290" t="s">
        <v>675</v>
      </c>
      <c r="C5" s="1290"/>
      <c r="D5" s="1290"/>
      <c r="E5" s="1290"/>
      <c r="F5" s="1290"/>
      <c r="G5" s="1290"/>
      <c r="H5" s="1290"/>
      <c r="I5" s="1290"/>
      <c r="J5" s="1290"/>
      <c r="K5" s="1290"/>
      <c r="L5" s="1290"/>
      <c r="M5" s="1290"/>
      <c r="N5" s="3"/>
    </row>
    <row r="6" spans="1:14" ht="262.2">
      <c r="A6" s="1287"/>
      <c r="B6" s="1291" t="s">
        <v>358</v>
      </c>
      <c r="C6" s="1292" t="s">
        <v>763</v>
      </c>
      <c r="D6" s="745" t="s">
        <v>764</v>
      </c>
      <c r="E6" s="1292" t="s">
        <v>762</v>
      </c>
      <c r="F6" s="1292" t="s">
        <v>677</v>
      </c>
      <c r="G6" s="1293">
        <v>5000000</v>
      </c>
      <c r="H6" s="1292" t="s">
        <v>678</v>
      </c>
      <c r="I6" s="1337">
        <v>516.73</v>
      </c>
      <c r="J6" s="1337">
        <v>1714</v>
      </c>
      <c r="K6" s="1337">
        <v>383.21</v>
      </c>
      <c r="L6" s="1335">
        <f>J6*1/3.6*F20</f>
        <v>1.2855000000000001E-4</v>
      </c>
      <c r="M6" s="1294">
        <f>J6*1/3.6*F18</f>
        <v>0.18092222222222223</v>
      </c>
      <c r="N6" s="1294">
        <f>J6*1/3.6*F19</f>
        <v>0.1714</v>
      </c>
    </row>
    <row r="7" spans="1:14" ht="14.4" customHeight="1">
      <c r="A7" s="1287"/>
      <c r="B7" s="1290" t="s">
        <v>679</v>
      </c>
      <c r="C7" s="1290"/>
      <c r="D7" s="1290"/>
      <c r="E7" s="1290"/>
      <c r="F7" s="1290"/>
      <c r="G7" s="1290"/>
      <c r="H7" s="1290"/>
      <c r="I7" s="1336"/>
      <c r="J7" s="1336"/>
      <c r="K7" s="1336"/>
      <c r="L7" s="1290"/>
      <c r="M7" s="1290"/>
      <c r="N7" s="3"/>
    </row>
    <row r="8" spans="1:14" ht="82.8">
      <c r="A8" s="1287"/>
      <c r="B8" s="1291" t="s">
        <v>372</v>
      </c>
      <c r="C8" s="1295" t="s">
        <v>680</v>
      </c>
      <c r="D8" s="1295" t="s">
        <v>681</v>
      </c>
      <c r="E8" s="1292" t="s">
        <v>762</v>
      </c>
      <c r="F8" s="1292" t="s">
        <v>682</v>
      </c>
      <c r="G8" s="1296">
        <v>10000</v>
      </c>
      <c r="H8" s="1297" t="s">
        <v>683</v>
      </c>
      <c r="I8" s="1297">
        <v>0</v>
      </c>
      <c r="J8" s="1297">
        <v>0</v>
      </c>
      <c r="K8" s="1297">
        <v>0</v>
      </c>
      <c r="L8" s="3"/>
      <c r="M8" s="3"/>
      <c r="N8" s="3"/>
    </row>
    <row r="9" spans="1:14" ht="27.6">
      <c r="A9" s="1287"/>
      <c r="B9" s="1291" t="s">
        <v>684</v>
      </c>
      <c r="C9" s="1295" t="s">
        <v>685</v>
      </c>
      <c r="D9" s="1295" t="s">
        <v>95</v>
      </c>
      <c r="E9" s="1292" t="s">
        <v>762</v>
      </c>
      <c r="F9" s="1292" t="s">
        <v>682</v>
      </c>
      <c r="G9" s="1297" t="s">
        <v>95</v>
      </c>
      <c r="H9" s="1297" t="s">
        <v>683</v>
      </c>
      <c r="I9" s="1297">
        <v>0</v>
      </c>
      <c r="J9" s="1297">
        <v>0</v>
      </c>
      <c r="K9" s="1297">
        <v>0</v>
      </c>
      <c r="L9" s="3"/>
      <c r="M9" s="3"/>
      <c r="N9" s="3"/>
    </row>
    <row r="10" spans="1:14" ht="26.4" customHeight="1">
      <c r="A10" s="1287"/>
      <c r="B10" s="1291" t="s">
        <v>686</v>
      </c>
      <c r="C10" s="1295" t="s">
        <v>687</v>
      </c>
      <c r="D10" s="1295" t="s">
        <v>688</v>
      </c>
      <c r="E10" s="1292" t="s">
        <v>762</v>
      </c>
      <c r="F10" s="1292" t="s">
        <v>682</v>
      </c>
      <c r="G10" s="1297" t="s">
        <v>95</v>
      </c>
      <c r="H10" s="1297" t="s">
        <v>683</v>
      </c>
      <c r="I10" s="1297">
        <v>0</v>
      </c>
      <c r="J10" s="1297">
        <v>0</v>
      </c>
      <c r="K10" s="1297">
        <v>0</v>
      </c>
      <c r="L10" s="3"/>
      <c r="M10" s="3"/>
      <c r="N10" s="3"/>
    </row>
    <row r="11" spans="1:14" ht="14.4">
      <c r="A11" s="1287"/>
      <c r="H11" s="1298" t="s">
        <v>514</v>
      </c>
      <c r="I11" s="1298">
        <f>I10+I9+I8+I6</f>
        <v>516.73</v>
      </c>
      <c r="J11" s="1298">
        <f t="shared" ref="J11:N11" si="0">J10+J9+J8+J6</f>
        <v>1714</v>
      </c>
      <c r="K11" s="1298">
        <f t="shared" si="0"/>
        <v>383.21</v>
      </c>
      <c r="L11" s="1299">
        <f t="shared" si="0"/>
        <v>1.2855000000000001E-4</v>
      </c>
      <c r="M11" s="1299">
        <f t="shared" si="0"/>
        <v>0.18092222222222223</v>
      </c>
      <c r="N11" s="1299">
        <f t="shared" si="0"/>
        <v>0.1714</v>
      </c>
    </row>
    <row r="12" spans="1:14" ht="14.4">
      <c r="A12" s="1287"/>
    </row>
    <row r="13" spans="1:14" ht="14.4">
      <c r="A13" s="1287"/>
    </row>
    <row r="14" spans="1:14" ht="14.4">
      <c r="A14" s="1287"/>
    </row>
    <row r="15" spans="1:14" ht="14.4">
      <c r="A15" s="1287"/>
    </row>
    <row r="16" spans="1:14" ht="14.4">
      <c r="A16" s="1287"/>
    </row>
    <row r="17" spans="1:13" ht="14.4">
      <c r="A17" s="1287"/>
    </row>
    <row r="18" spans="1:13">
      <c r="D18" s="1300" t="s">
        <v>66</v>
      </c>
      <c r="E18" s="1301" t="s">
        <v>263</v>
      </c>
      <c r="F18" s="1302">
        <v>3.8000000000000002E-4</v>
      </c>
    </row>
    <row r="19" spans="1:13">
      <c r="D19" s="1300" t="s">
        <v>67</v>
      </c>
      <c r="E19" s="1301" t="s">
        <v>263</v>
      </c>
      <c r="F19" s="1302">
        <v>3.6000000000000002E-4</v>
      </c>
    </row>
    <row r="20" spans="1:13" ht="14.4" thickBot="1">
      <c r="D20" s="1303" t="s">
        <v>69</v>
      </c>
      <c r="E20" s="1304" t="s">
        <v>263</v>
      </c>
      <c r="F20" s="1305">
        <v>2.7000000000000001E-7</v>
      </c>
    </row>
    <row r="23" spans="1:13" ht="3.6" customHeight="1"/>
    <row r="24" spans="1:13" hidden="1"/>
    <row r="25" spans="1:13" hidden="1"/>
    <row r="26" spans="1:13" hidden="1"/>
    <row r="27" spans="1:13" ht="14.4" hidden="1">
      <c r="B27" s="1306" t="s">
        <v>689</v>
      </c>
      <c r="C27" s="1307"/>
      <c r="D27" s="1307"/>
      <c r="E27" s="1307"/>
      <c r="F27" s="1307"/>
      <c r="G27" s="1307"/>
      <c r="H27" s="1307"/>
      <c r="I27" s="1308"/>
      <c r="J27" s="1308"/>
      <c r="K27" s="1308"/>
      <c r="L27" s="1308"/>
      <c r="M27" s="1309"/>
    </row>
    <row r="28" spans="1:13" ht="27.6" hidden="1" customHeight="1">
      <c r="B28" s="1310" t="s">
        <v>623</v>
      </c>
      <c r="C28" s="1310" t="s">
        <v>690</v>
      </c>
      <c r="D28" s="1310" t="s">
        <v>691</v>
      </c>
      <c r="E28" s="1310" t="s">
        <v>692</v>
      </c>
      <c r="F28" s="1310" t="s">
        <v>693</v>
      </c>
      <c r="G28" s="1310"/>
      <c r="H28" s="1311" t="s">
        <v>694</v>
      </c>
      <c r="I28" s="1310" t="s">
        <v>695</v>
      </c>
      <c r="J28" s="1310"/>
      <c r="K28" s="1312" t="s">
        <v>696</v>
      </c>
      <c r="L28" s="1313" t="s">
        <v>697</v>
      </c>
      <c r="M28" s="1313" t="s">
        <v>698</v>
      </c>
    </row>
    <row r="29" spans="1:13" ht="27.6" hidden="1">
      <c r="B29" s="1310"/>
      <c r="C29" s="1310"/>
      <c r="D29" s="1310"/>
      <c r="E29" s="1310"/>
      <c r="F29" s="1312" t="s">
        <v>699</v>
      </c>
      <c r="G29" s="1312" t="s">
        <v>700</v>
      </c>
      <c r="H29" s="1311"/>
      <c r="I29" s="1312" t="s">
        <v>98</v>
      </c>
      <c r="J29" s="1312" t="s">
        <v>701</v>
      </c>
      <c r="K29" s="1312" t="s">
        <v>98</v>
      </c>
      <c r="L29" s="1313"/>
      <c r="M29" s="1313"/>
    </row>
    <row r="30" spans="1:13" ht="14.4" hidden="1" customHeight="1">
      <c r="B30" s="1314" t="s">
        <v>702</v>
      </c>
      <c r="C30" s="1315"/>
      <c r="D30" s="1315"/>
      <c r="E30" s="1315"/>
      <c r="F30" s="1315"/>
      <c r="G30" s="1315"/>
      <c r="H30" s="1315"/>
      <c r="I30" s="1316"/>
      <c r="J30" s="1316"/>
      <c r="K30" s="1316"/>
      <c r="L30" s="1317"/>
      <c r="M30" s="1318"/>
    </row>
    <row r="31" spans="1:13" ht="27.6" hidden="1">
      <c r="B31" s="1319" t="s">
        <v>358</v>
      </c>
      <c r="C31" s="1319" t="s">
        <v>703</v>
      </c>
      <c r="D31" s="1319" t="s">
        <v>676</v>
      </c>
      <c r="E31" s="1319" t="s">
        <v>704</v>
      </c>
      <c r="F31" s="1320">
        <v>2020</v>
      </c>
      <c r="G31" s="1320"/>
      <c r="H31" s="1321">
        <v>10000</v>
      </c>
      <c r="I31" s="1322">
        <v>0</v>
      </c>
      <c r="J31" s="1322">
        <v>0</v>
      </c>
      <c r="K31" s="1322">
        <v>0</v>
      </c>
      <c r="L31" s="1323" t="s">
        <v>705</v>
      </c>
      <c r="M31" s="1323" t="s">
        <v>706</v>
      </c>
    </row>
    <row r="32" spans="1:13" ht="41.4" hidden="1">
      <c r="B32" s="1319" t="s">
        <v>372</v>
      </c>
      <c r="C32" s="1319" t="s">
        <v>707</v>
      </c>
      <c r="D32" s="1319" t="s">
        <v>676</v>
      </c>
      <c r="E32" s="1319" t="s">
        <v>708</v>
      </c>
      <c r="F32" s="1319">
        <v>2016</v>
      </c>
      <c r="G32" s="1319">
        <v>2020</v>
      </c>
      <c r="H32" s="1321">
        <v>25000</v>
      </c>
      <c r="I32" s="1322">
        <v>0</v>
      </c>
      <c r="J32" s="1322">
        <v>0</v>
      </c>
      <c r="K32" s="1322">
        <v>0</v>
      </c>
      <c r="L32" s="1323" t="s">
        <v>709</v>
      </c>
      <c r="M32" s="1323" t="s">
        <v>706</v>
      </c>
    </row>
    <row r="33" spans="2:13" ht="13.8" hidden="1" customHeight="1">
      <c r="B33" s="1324" t="s">
        <v>710</v>
      </c>
      <c r="C33" s="1325"/>
      <c r="D33" s="1325"/>
      <c r="E33" s="1325"/>
      <c r="F33" s="1325"/>
      <c r="G33" s="1325"/>
      <c r="H33" s="1325"/>
      <c r="I33" s="1326"/>
      <c r="J33" s="1326"/>
      <c r="K33" s="1326"/>
      <c r="L33" s="1327"/>
      <c r="M33" s="1328"/>
    </row>
    <row r="34" spans="2:13" ht="82.8" hidden="1">
      <c r="B34" s="1319" t="s">
        <v>684</v>
      </c>
      <c r="C34" s="1319" t="s">
        <v>680</v>
      </c>
      <c r="D34" s="1319" t="s">
        <v>676</v>
      </c>
      <c r="E34" s="1319" t="s">
        <v>681</v>
      </c>
      <c r="F34" s="1319">
        <v>2016</v>
      </c>
      <c r="G34" s="1319">
        <v>2020</v>
      </c>
      <c r="H34" s="1321">
        <v>4000</v>
      </c>
      <c r="I34" s="1322">
        <v>0</v>
      </c>
      <c r="J34" s="1322">
        <v>0</v>
      </c>
      <c r="K34" s="1322">
        <v>0</v>
      </c>
      <c r="L34" s="1323" t="s">
        <v>711</v>
      </c>
      <c r="M34" s="1323" t="s">
        <v>712</v>
      </c>
    </row>
    <row r="35" spans="2:13" ht="27.6" hidden="1">
      <c r="B35" s="1319" t="s">
        <v>686</v>
      </c>
      <c r="C35" s="1319" t="s">
        <v>685</v>
      </c>
      <c r="D35" s="1319" t="s">
        <v>676</v>
      </c>
      <c r="E35" s="1319" t="s">
        <v>95</v>
      </c>
      <c r="F35" s="1319">
        <v>2016</v>
      </c>
      <c r="G35" s="1319">
        <v>2020</v>
      </c>
      <c r="H35" s="1321">
        <v>0</v>
      </c>
      <c r="I35" s="1322">
        <v>0</v>
      </c>
      <c r="J35" s="1322">
        <v>0</v>
      </c>
      <c r="K35" s="1322">
        <v>0</v>
      </c>
      <c r="L35" s="1323" t="s">
        <v>713</v>
      </c>
      <c r="M35" s="1323" t="s">
        <v>683</v>
      </c>
    </row>
    <row r="36" spans="2:13" hidden="1">
      <c r="B36" s="1319" t="s">
        <v>714</v>
      </c>
      <c r="C36" s="1319" t="s">
        <v>687</v>
      </c>
      <c r="D36" s="1319" t="s">
        <v>676</v>
      </c>
      <c r="E36" s="1319" t="s">
        <v>95</v>
      </c>
      <c r="F36" s="1319">
        <v>2016</v>
      </c>
      <c r="G36" s="1319">
        <v>2020</v>
      </c>
      <c r="H36" s="1321">
        <v>0</v>
      </c>
      <c r="I36" s="1322">
        <v>0</v>
      </c>
      <c r="J36" s="1322">
        <v>0</v>
      </c>
      <c r="K36" s="1322">
        <v>0</v>
      </c>
      <c r="L36" s="1323" t="s">
        <v>715</v>
      </c>
      <c r="M36" s="1323" t="s">
        <v>683</v>
      </c>
    </row>
    <row r="37" spans="2:13" ht="41.4" hidden="1">
      <c r="B37" s="1319" t="s">
        <v>716</v>
      </c>
      <c r="C37" s="1319" t="s">
        <v>717</v>
      </c>
      <c r="D37" s="1319" t="s">
        <v>676</v>
      </c>
      <c r="E37" s="1319" t="s">
        <v>708</v>
      </c>
      <c r="F37" s="1319">
        <v>2016</v>
      </c>
      <c r="G37" s="1319">
        <v>2020</v>
      </c>
      <c r="H37" s="1321">
        <v>590000</v>
      </c>
      <c r="I37" s="1322">
        <v>118.71</v>
      </c>
      <c r="J37" s="1322">
        <v>105.65</v>
      </c>
      <c r="K37" s="1329" t="s">
        <v>95</v>
      </c>
      <c r="L37" s="1323" t="s">
        <v>718</v>
      </c>
      <c r="M37" s="1323" t="s">
        <v>719</v>
      </c>
    </row>
    <row r="38" spans="2:13" ht="41.4" hidden="1">
      <c r="B38" s="1319" t="s">
        <v>720</v>
      </c>
      <c r="C38" s="1319" t="s">
        <v>721</v>
      </c>
      <c r="D38" s="1319" t="s">
        <v>722</v>
      </c>
      <c r="E38" s="1319" t="s">
        <v>708</v>
      </c>
      <c r="F38" s="1319">
        <v>2016</v>
      </c>
      <c r="G38" s="1319">
        <v>2020</v>
      </c>
      <c r="H38" s="1330">
        <v>1350000</v>
      </c>
      <c r="I38" s="1329">
        <v>1764.49</v>
      </c>
      <c r="J38" s="1329">
        <v>172.92</v>
      </c>
      <c r="K38" s="1329" t="s">
        <v>95</v>
      </c>
      <c r="L38" s="1323" t="s">
        <v>723</v>
      </c>
      <c r="M38" s="1323" t="s">
        <v>724</v>
      </c>
    </row>
    <row r="39" spans="2:13" ht="41.4" hidden="1">
      <c r="B39" s="1319" t="s">
        <v>725</v>
      </c>
      <c r="C39" s="1319" t="s">
        <v>726</v>
      </c>
      <c r="D39" s="1319" t="s">
        <v>722</v>
      </c>
      <c r="E39" s="1319" t="s">
        <v>708</v>
      </c>
      <c r="F39" s="1319">
        <v>2016</v>
      </c>
      <c r="G39" s="1319">
        <v>2020</v>
      </c>
      <c r="H39" s="1330">
        <v>800000</v>
      </c>
      <c r="I39" s="1329" t="s">
        <v>95</v>
      </c>
      <c r="J39" s="1329">
        <v>35.6</v>
      </c>
      <c r="K39" s="1329">
        <v>40</v>
      </c>
      <c r="L39" s="1323" t="s">
        <v>727</v>
      </c>
      <c r="M39" s="1323" t="s">
        <v>724</v>
      </c>
    </row>
    <row r="40" spans="2:13" ht="55.2" hidden="1">
      <c r="B40" s="1319" t="s">
        <v>728</v>
      </c>
      <c r="C40" s="1319" t="s">
        <v>729</v>
      </c>
      <c r="D40" s="1319" t="s">
        <v>676</v>
      </c>
      <c r="E40" s="1319" t="s">
        <v>708</v>
      </c>
      <c r="F40" s="1319">
        <v>2016</v>
      </c>
      <c r="G40" s="1319">
        <v>2020</v>
      </c>
      <c r="H40" s="1330">
        <v>50000</v>
      </c>
      <c r="I40" s="1329">
        <v>2352.65</v>
      </c>
      <c r="J40" s="1329">
        <v>230.56</v>
      </c>
      <c r="K40" s="1329" t="s">
        <v>95</v>
      </c>
      <c r="L40" s="1323" t="s">
        <v>727</v>
      </c>
      <c r="M40" s="1323" t="s">
        <v>706</v>
      </c>
    </row>
    <row r="41" spans="2:13" ht="41.4" hidden="1">
      <c r="B41" s="1319" t="s">
        <v>730</v>
      </c>
      <c r="C41" s="1319" t="s">
        <v>731</v>
      </c>
      <c r="D41" s="1319" t="s">
        <v>676</v>
      </c>
      <c r="E41" s="1319" t="s">
        <v>708</v>
      </c>
      <c r="F41" s="1319">
        <v>2016</v>
      </c>
      <c r="G41" s="1319">
        <v>2020</v>
      </c>
      <c r="H41" s="1330">
        <v>7000000</v>
      </c>
      <c r="I41" s="1329">
        <v>0</v>
      </c>
      <c r="J41" s="1329">
        <v>0</v>
      </c>
      <c r="K41" s="1329">
        <v>0</v>
      </c>
      <c r="L41" s="1323" t="s">
        <v>732</v>
      </c>
      <c r="M41" s="1323" t="s">
        <v>706</v>
      </c>
    </row>
    <row r="42" spans="2:13" ht="41.4" hidden="1">
      <c r="B42" s="1319" t="s">
        <v>733</v>
      </c>
      <c r="C42" s="1319" t="s">
        <v>734</v>
      </c>
      <c r="D42" s="1319" t="s">
        <v>676</v>
      </c>
      <c r="E42" s="1319" t="s">
        <v>735</v>
      </c>
      <c r="F42" s="1319">
        <v>2016</v>
      </c>
      <c r="G42" s="1319">
        <v>2020</v>
      </c>
      <c r="H42" s="1330">
        <v>20000</v>
      </c>
      <c r="I42" s="1329">
        <v>0</v>
      </c>
      <c r="J42" s="1329">
        <v>0</v>
      </c>
      <c r="K42" s="1329">
        <v>0</v>
      </c>
      <c r="L42" s="1323" t="s">
        <v>736</v>
      </c>
      <c r="M42" s="1323" t="s">
        <v>737</v>
      </c>
    </row>
    <row r="43" spans="2:13" ht="41.4" hidden="1">
      <c r="B43" s="1319" t="s">
        <v>738</v>
      </c>
      <c r="C43" s="1319" t="s">
        <v>739</v>
      </c>
      <c r="D43" s="1319" t="s">
        <v>740</v>
      </c>
      <c r="E43" s="1319" t="s">
        <v>741</v>
      </c>
      <c r="F43" s="1319">
        <v>2016</v>
      </c>
      <c r="G43" s="1319">
        <v>2020</v>
      </c>
      <c r="H43" s="1330">
        <v>1400000</v>
      </c>
      <c r="I43" s="1329">
        <v>200</v>
      </c>
      <c r="J43" s="1329">
        <v>178</v>
      </c>
      <c r="K43" s="1329">
        <v>200</v>
      </c>
      <c r="L43" s="1323" t="s">
        <v>727</v>
      </c>
      <c r="M43" s="1323" t="s">
        <v>742</v>
      </c>
    </row>
    <row r="44" spans="2:13" ht="55.2" hidden="1">
      <c r="B44" s="1319" t="s">
        <v>743</v>
      </c>
      <c r="C44" s="1319" t="s">
        <v>744</v>
      </c>
      <c r="D44" s="1319" t="s">
        <v>740</v>
      </c>
      <c r="E44" s="1319" t="s">
        <v>741</v>
      </c>
      <c r="F44" s="1319">
        <v>2016</v>
      </c>
      <c r="G44" s="1319">
        <v>2020</v>
      </c>
      <c r="H44" s="1330">
        <v>1000000</v>
      </c>
      <c r="I44" s="1329">
        <f>0.3*'[5]Bilans zużycia energii'!K33</f>
        <v>0</v>
      </c>
      <c r="J44" s="1329">
        <f>0.3*'[5]Bilans emisji CO2'!K33</f>
        <v>0</v>
      </c>
      <c r="K44" s="1329">
        <f>0.2*I44</f>
        <v>0</v>
      </c>
      <c r="L44" s="1323" t="s">
        <v>745</v>
      </c>
      <c r="M44" s="1323" t="s">
        <v>742</v>
      </c>
    </row>
    <row r="45" spans="2:13" ht="41.4" hidden="1">
      <c r="B45" s="1319" t="s">
        <v>746</v>
      </c>
      <c r="C45" s="1319" t="s">
        <v>747</v>
      </c>
      <c r="D45" s="1319" t="s">
        <v>748</v>
      </c>
      <c r="E45" s="1319" t="s">
        <v>741</v>
      </c>
      <c r="F45" s="1319">
        <v>2016</v>
      </c>
      <c r="G45" s="1319">
        <v>2020</v>
      </c>
      <c r="H45" s="1330">
        <v>1200000</v>
      </c>
      <c r="I45" s="1329" t="s">
        <v>95</v>
      </c>
      <c r="J45" s="1329">
        <v>356</v>
      </c>
      <c r="K45" s="1329">
        <v>400</v>
      </c>
      <c r="L45" s="1323" t="s">
        <v>727</v>
      </c>
      <c r="M45" s="1323" t="s">
        <v>749</v>
      </c>
    </row>
    <row r="46" spans="2:13" ht="27.6" hidden="1">
      <c r="B46" s="1319" t="s">
        <v>750</v>
      </c>
      <c r="C46" s="1319" t="s">
        <v>751</v>
      </c>
      <c r="D46" s="1319" t="s">
        <v>748</v>
      </c>
      <c r="E46" s="1319" t="s">
        <v>741</v>
      </c>
      <c r="F46" s="1319">
        <v>2016</v>
      </c>
      <c r="G46" s="1319">
        <v>2020</v>
      </c>
      <c r="H46" s="1330">
        <v>1400000</v>
      </c>
      <c r="I46" s="1329">
        <v>207.44</v>
      </c>
      <c r="J46" s="1329">
        <v>168.44</v>
      </c>
      <c r="K46" s="1329">
        <v>207.44</v>
      </c>
      <c r="L46" s="1323" t="s">
        <v>727</v>
      </c>
      <c r="M46" s="1323" t="s">
        <v>752</v>
      </c>
    </row>
    <row r="47" spans="2:13" ht="41.4" hidden="1">
      <c r="B47" s="1319" t="s">
        <v>753</v>
      </c>
      <c r="C47" s="1319" t="s">
        <v>754</v>
      </c>
      <c r="D47" s="1319" t="s">
        <v>748</v>
      </c>
      <c r="E47" s="1319" t="s">
        <v>741</v>
      </c>
      <c r="F47" s="1319">
        <v>2016</v>
      </c>
      <c r="G47" s="1319">
        <v>2020</v>
      </c>
      <c r="H47" s="1330">
        <v>2000000</v>
      </c>
      <c r="I47" s="1329">
        <v>1605.61</v>
      </c>
      <c r="J47" s="1329">
        <v>157.35</v>
      </c>
      <c r="K47" s="1329" t="s">
        <v>95</v>
      </c>
      <c r="L47" s="1323" t="s">
        <v>755</v>
      </c>
      <c r="M47" s="1323" t="s">
        <v>756</v>
      </c>
    </row>
    <row r="48" spans="2:13" ht="27.6" hidden="1">
      <c r="B48" s="1319" t="s">
        <v>757</v>
      </c>
      <c r="C48" s="1319" t="s">
        <v>758</v>
      </c>
      <c r="D48" s="1319" t="s">
        <v>748</v>
      </c>
      <c r="E48" s="1319" t="s">
        <v>741</v>
      </c>
      <c r="F48" s="1319">
        <v>2016</v>
      </c>
      <c r="G48" s="1319">
        <v>2020</v>
      </c>
      <c r="H48" s="1330">
        <v>800000</v>
      </c>
      <c r="I48" s="1329">
        <v>2809.16</v>
      </c>
      <c r="J48" s="1329">
        <v>2753.62</v>
      </c>
      <c r="K48" s="1329" t="s">
        <v>95</v>
      </c>
      <c r="L48" s="1323" t="s">
        <v>759</v>
      </c>
      <c r="M48" s="1323" t="s">
        <v>760</v>
      </c>
    </row>
    <row r="49" spans="2:13" ht="14.4" hidden="1">
      <c r="B49" s="1306" t="s">
        <v>761</v>
      </c>
      <c r="C49" s="1307"/>
      <c r="D49" s="1307"/>
      <c r="E49" s="1307"/>
      <c r="F49" s="1307"/>
      <c r="G49" s="1331"/>
      <c r="H49" s="1332">
        <f>SUM(H37:H48)+SUM(H31:H32)</f>
        <v>17645000</v>
      </c>
      <c r="I49" s="1333">
        <f>SUM(I37:I48)+SUM(I31:I32)</f>
        <v>9058.06</v>
      </c>
      <c r="J49" s="1333">
        <f>SUM(J37:J48)+SUM(J31:J32)</f>
        <v>4158.1399999999994</v>
      </c>
      <c r="K49" s="1333">
        <f>SUM(K37:K48)+SUM(K31:K32)</f>
        <v>847.44</v>
      </c>
      <c r="L49" s="1333"/>
      <c r="M49" s="1334"/>
    </row>
    <row r="50" spans="2:13" hidden="1"/>
  </sheetData>
  <mergeCells count="17">
    <mergeCell ref="B49:G49"/>
    <mergeCell ref="I28:J28"/>
    <mergeCell ref="L28:L29"/>
    <mergeCell ref="M28:M29"/>
    <mergeCell ref="B30:H30"/>
    <mergeCell ref="F31:G31"/>
    <mergeCell ref="B33:H33"/>
    <mergeCell ref="L3:N3"/>
    <mergeCell ref="B5:M5"/>
    <mergeCell ref="B7:M7"/>
    <mergeCell ref="B27:H27"/>
    <mergeCell ref="B28:B29"/>
    <mergeCell ref="C28:C29"/>
    <mergeCell ref="D28:D29"/>
    <mergeCell ref="E28:E29"/>
    <mergeCell ref="F28:G28"/>
    <mergeCell ref="H28:H29"/>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B22"/>
  <sheetViews>
    <sheetView view="pageBreakPreview" zoomScale="90" zoomScaleNormal="90" zoomScaleSheetLayoutView="90" workbookViewId="0">
      <selection activeCell="H21" sqref="H21"/>
    </sheetView>
  </sheetViews>
  <sheetFormatPr defaultColWidth="9" defaultRowHeight="13.8"/>
  <cols>
    <col min="1" max="1" width="4.69921875" style="737" customWidth="1"/>
    <col min="2" max="2" width="30.59765625" style="737" customWidth="1"/>
    <col min="3" max="3" width="9.8984375" style="737" customWidth="1"/>
    <col min="4" max="4" width="9.19921875" style="737" bestFit="1" customWidth="1"/>
    <col min="5" max="5" width="8.69921875" style="737" bestFit="1" customWidth="1"/>
    <col min="6" max="6" width="7.69921875" style="737" bestFit="1" customWidth="1"/>
    <col min="7" max="7" width="7.59765625" style="737" customWidth="1"/>
    <col min="8" max="8" width="8" style="737" bestFit="1" customWidth="1"/>
    <col min="9" max="9" width="6.8984375" style="737" bestFit="1" customWidth="1"/>
    <col min="10" max="10" width="7.09765625" style="737" bestFit="1" customWidth="1"/>
    <col min="11" max="11" width="7.69921875" style="737" bestFit="1" customWidth="1"/>
    <col min="12" max="12" width="8.8984375" style="737" bestFit="1" customWidth="1"/>
    <col min="13" max="13" width="7.09765625" style="737" customWidth="1"/>
    <col min="14" max="14" width="7.59765625" style="737" bestFit="1" customWidth="1"/>
    <col min="15" max="15" width="6.8984375" style="737" bestFit="1" customWidth="1"/>
    <col min="16" max="16" width="7.59765625" style="737" bestFit="1" customWidth="1"/>
    <col min="17" max="17" width="10.19921875" style="737" bestFit="1" customWidth="1"/>
    <col min="18" max="18" width="8.59765625" style="737" bestFit="1" customWidth="1"/>
    <col min="19" max="19" width="10.09765625" style="737" hidden="1" customWidth="1"/>
    <col min="20" max="16384" width="9" style="737"/>
  </cols>
  <sheetData>
    <row r="1" spans="1:28" ht="14.4">
      <c r="A1" s="1199" t="s">
        <v>486</v>
      </c>
      <c r="B1" s="1199"/>
      <c r="C1" s="1199"/>
      <c r="D1" s="1199"/>
      <c r="E1" s="1199"/>
      <c r="F1" s="1199"/>
      <c r="G1" s="1199"/>
      <c r="H1" s="1199"/>
      <c r="I1" s="1199"/>
      <c r="J1" s="1199"/>
      <c r="K1" s="1199"/>
      <c r="L1" s="1199"/>
      <c r="M1" s="1199"/>
      <c r="N1" s="1199"/>
      <c r="O1" s="1199"/>
      <c r="P1" s="1199"/>
      <c r="Q1" s="1199"/>
      <c r="R1" s="1199"/>
      <c r="S1" s="1063"/>
      <c r="T1" s="1063"/>
      <c r="U1" s="1063"/>
      <c r="V1" s="1063"/>
      <c r="W1" s="1063"/>
      <c r="X1" s="1063"/>
      <c r="Y1" s="1063"/>
      <c r="Z1" s="1063"/>
      <c r="AA1" s="1063"/>
      <c r="AB1" s="1063"/>
    </row>
    <row r="2" spans="1:28" ht="15.6">
      <c r="A2" s="1230" t="s">
        <v>487</v>
      </c>
      <c r="B2" s="1230" t="s">
        <v>488</v>
      </c>
      <c r="C2" s="1231" t="s">
        <v>489</v>
      </c>
      <c r="D2" s="1231"/>
      <c r="E2" s="1231"/>
      <c r="F2" s="1231"/>
      <c r="G2" s="1231"/>
      <c r="H2" s="1231"/>
      <c r="I2" s="1231"/>
      <c r="J2" s="1231"/>
      <c r="K2" s="1231"/>
      <c r="L2" s="1231"/>
      <c r="M2" s="1231"/>
      <c r="N2" s="1231"/>
      <c r="O2" s="1231"/>
      <c r="P2" s="1231"/>
      <c r="Q2" s="1231"/>
      <c r="R2" s="1231"/>
    </row>
    <row r="3" spans="1:28" ht="12.75" customHeight="1">
      <c r="A3" s="1230"/>
      <c r="B3" s="1230"/>
      <c r="C3" s="1232" t="s">
        <v>9</v>
      </c>
      <c r="D3" s="1232" t="s">
        <v>490</v>
      </c>
      <c r="E3" s="1233" t="s">
        <v>491</v>
      </c>
      <c r="F3" s="1233"/>
      <c r="G3" s="1233"/>
      <c r="H3" s="1233"/>
      <c r="I3" s="1233"/>
      <c r="J3" s="1233"/>
      <c r="K3" s="1233"/>
      <c r="L3" s="1233"/>
      <c r="M3" s="1234" t="s">
        <v>492</v>
      </c>
      <c r="N3" s="1234"/>
      <c r="O3" s="1234"/>
      <c r="P3" s="1234"/>
      <c r="Q3" s="1234"/>
      <c r="R3" s="1235" t="s">
        <v>228</v>
      </c>
    </row>
    <row r="4" spans="1:28" ht="25.5" customHeight="1">
      <c r="A4" s="1230"/>
      <c r="B4" s="1230"/>
      <c r="C4" s="1232"/>
      <c r="D4" s="1232"/>
      <c r="E4" s="738" t="s">
        <v>6</v>
      </c>
      <c r="F4" s="738" t="s">
        <v>493</v>
      </c>
      <c r="G4" s="738" t="s">
        <v>7</v>
      </c>
      <c r="H4" s="738" t="s">
        <v>494</v>
      </c>
      <c r="I4" s="738" t="s">
        <v>216</v>
      </c>
      <c r="J4" s="738" t="s">
        <v>495</v>
      </c>
      <c r="K4" s="738" t="s">
        <v>496</v>
      </c>
      <c r="L4" s="738" t="s">
        <v>497</v>
      </c>
      <c r="M4" s="890" t="s">
        <v>498</v>
      </c>
      <c r="N4" s="890" t="s">
        <v>499</v>
      </c>
      <c r="O4" s="890" t="s">
        <v>500</v>
      </c>
      <c r="P4" s="890" t="s">
        <v>501</v>
      </c>
      <c r="Q4" s="890" t="s">
        <v>502</v>
      </c>
      <c r="R4" s="1235"/>
      <c r="U4" s="739"/>
      <c r="V4" s="739"/>
      <c r="W4" s="739"/>
    </row>
    <row r="5" spans="1:28" ht="14.4">
      <c r="A5" s="1236" t="s">
        <v>503</v>
      </c>
      <c r="B5" s="1236"/>
      <c r="C5" s="1236"/>
      <c r="D5" s="1236"/>
      <c r="E5" s="1236"/>
      <c r="F5" s="1236"/>
      <c r="G5" s="1236"/>
      <c r="H5" s="1236"/>
      <c r="I5" s="1236"/>
      <c r="J5" s="1236"/>
      <c r="K5" s="1236"/>
      <c r="L5" s="1236"/>
      <c r="M5" s="1236"/>
      <c r="N5" s="1236"/>
      <c r="O5" s="1236"/>
      <c r="P5" s="1236"/>
      <c r="Q5" s="1236"/>
      <c r="R5" s="1236"/>
      <c r="S5" s="737" t="s">
        <v>156</v>
      </c>
      <c r="U5" s="739"/>
      <c r="V5" s="739"/>
      <c r="W5" s="739"/>
    </row>
    <row r="6" spans="1:28" ht="27.6">
      <c r="A6" s="740">
        <v>1</v>
      </c>
      <c r="B6" s="741" t="s">
        <v>504</v>
      </c>
      <c r="C6" s="891">
        <f>'Struktura paliw łącznie'!E22+'Struktura paliw łącznie'!J22</f>
        <v>181.36999999999998</v>
      </c>
      <c r="D6" s="742">
        <v>0</v>
      </c>
      <c r="E6" s="891">
        <v>0</v>
      </c>
      <c r="F6" s="891">
        <f>'Struktura paliw łącznie'!E18</f>
        <v>0</v>
      </c>
      <c r="G6" s="742">
        <f>'Struktura paliw łącznie'!E21</f>
        <v>0</v>
      </c>
      <c r="H6" s="742">
        <v>0</v>
      </c>
      <c r="I6" s="742">
        <v>0</v>
      </c>
      <c r="J6" s="742">
        <v>0</v>
      </c>
      <c r="K6" s="742">
        <f>'Struktura paliw łącznie'!E17</f>
        <v>614.42900784027779</v>
      </c>
      <c r="L6" s="742">
        <v>0</v>
      </c>
      <c r="M6" s="742">
        <v>0</v>
      </c>
      <c r="N6" s="742">
        <v>0</v>
      </c>
      <c r="O6" s="742">
        <f>'Struktura paliw łącznie'!E19+'Struktura paliw łącznie'!E20</f>
        <v>980.32016705208332</v>
      </c>
      <c r="P6" s="891">
        <v>0</v>
      </c>
      <c r="Q6" s="742">
        <v>0</v>
      </c>
      <c r="R6" s="892">
        <f>SUM(C6:Q6)</f>
        <v>1776.1191748923611</v>
      </c>
      <c r="S6" s="743">
        <f>'[4]Struktura paliw łącznie'!D26+'[4]Struktura paliw łącznie'!H26</f>
        <v>2372.0762946907357</v>
      </c>
    </row>
    <row r="7" spans="1:28" ht="27.6">
      <c r="A7" s="740">
        <v>2</v>
      </c>
      <c r="B7" s="741" t="s">
        <v>505</v>
      </c>
      <c r="C7" s="891">
        <f>'Struktura paliw łącznie'!L22+'Struktura paliw łącznie'!K22</f>
        <v>0</v>
      </c>
      <c r="D7" s="742">
        <v>0</v>
      </c>
      <c r="E7" s="891">
        <v>0</v>
      </c>
      <c r="F7" s="742">
        <f>'Struktura paliw łącznie'!K18</f>
        <v>0</v>
      </c>
      <c r="G7" s="742">
        <f>'Struktura paliw łącznie'!K21</f>
        <v>0</v>
      </c>
      <c r="H7" s="742">
        <v>0</v>
      </c>
      <c r="I7" s="742">
        <v>0</v>
      </c>
      <c r="J7" s="742">
        <v>0</v>
      </c>
      <c r="K7" s="742">
        <f>'Struktura paliw łącznie'!K17</f>
        <v>548.20137153199744</v>
      </c>
      <c r="L7" s="742">
        <v>0</v>
      </c>
      <c r="M7" s="742">
        <v>0</v>
      </c>
      <c r="N7" s="742">
        <v>0</v>
      </c>
      <c r="O7" s="891">
        <f>'Struktura paliw łącznie'!K19</f>
        <v>137.05034288299936</v>
      </c>
      <c r="P7" s="891">
        <v>0</v>
      </c>
      <c r="Q7" s="742">
        <v>0</v>
      </c>
      <c r="R7" s="892">
        <f t="shared" ref="R7:R12" si="0">SUM(C7:Q7)</f>
        <v>685.25171441499674</v>
      </c>
      <c r="S7" s="743">
        <f>'[4]Struktura paliw łącznie'!I26+'[4]Struktura paliw łącznie'!J26</f>
        <v>2045.1029999999996</v>
      </c>
    </row>
    <row r="8" spans="1:28">
      <c r="A8" s="740">
        <v>3</v>
      </c>
      <c r="B8" s="741" t="s">
        <v>506</v>
      </c>
      <c r="C8" s="891">
        <f>C9+C10</f>
        <v>2957.1535200000003</v>
      </c>
      <c r="D8" s="891">
        <f t="shared" ref="D8:Q8" si="1">D9+D10</f>
        <v>0</v>
      </c>
      <c r="E8" s="891">
        <f t="shared" si="1"/>
        <v>0</v>
      </c>
      <c r="F8" s="891">
        <f t="shared" si="1"/>
        <v>0</v>
      </c>
      <c r="G8" s="891">
        <f t="shared" si="1"/>
        <v>0</v>
      </c>
      <c r="H8" s="891">
        <f t="shared" si="1"/>
        <v>0</v>
      </c>
      <c r="I8" s="891">
        <f t="shared" si="1"/>
        <v>0</v>
      </c>
      <c r="J8" s="891">
        <f t="shared" si="1"/>
        <v>0</v>
      </c>
      <c r="K8" s="891">
        <f t="shared" si="1"/>
        <v>17309.497017751877</v>
      </c>
      <c r="L8" s="891">
        <f t="shared" si="1"/>
        <v>0</v>
      </c>
      <c r="M8" s="891">
        <f t="shared" si="1"/>
        <v>0</v>
      </c>
      <c r="N8" s="891">
        <f t="shared" si="1"/>
        <v>0</v>
      </c>
      <c r="O8" s="891">
        <f t="shared" si="1"/>
        <v>5245.2145297427651</v>
      </c>
      <c r="P8" s="891">
        <f t="shared" si="1"/>
        <v>0</v>
      </c>
      <c r="Q8" s="891">
        <f t="shared" si="1"/>
        <v>0</v>
      </c>
      <c r="R8" s="892">
        <f>SUM(C8:Q8)</f>
        <v>25511.86506749464</v>
      </c>
      <c r="S8" s="743">
        <f>'[4]Struktura paliw łącznie'!C26+'[4]Struktura paliw łącznie'!G26</f>
        <v>31385.17200940843</v>
      </c>
    </row>
    <row r="9" spans="1:28">
      <c r="A9" s="740" t="s">
        <v>520</v>
      </c>
      <c r="B9" s="762" t="s">
        <v>522</v>
      </c>
      <c r="C9" s="891">
        <f>'Struktura paliw łącznie'!C22+'Struktura paliw łącznie'!H22</f>
        <v>2957.1535200000003</v>
      </c>
      <c r="D9" s="742">
        <v>0</v>
      </c>
      <c r="E9" s="891">
        <v>0</v>
      </c>
      <c r="F9" s="742">
        <f>'Struktura paliw łącznie'!C18</f>
        <v>0</v>
      </c>
      <c r="G9" s="742">
        <f>'Struktura paliw łącznie'!C21</f>
        <v>0</v>
      </c>
      <c r="H9" s="742"/>
      <c r="I9" s="742"/>
      <c r="J9" s="742"/>
      <c r="K9" s="742">
        <f>'Struktura paliw łącznie'!C17</f>
        <v>17309.497017751877</v>
      </c>
      <c r="L9" s="742"/>
      <c r="M9" s="742"/>
      <c r="N9" s="742"/>
      <c r="O9" s="891">
        <f>'Struktura paliw łącznie'!C19</f>
        <v>5245.2145297427651</v>
      </c>
      <c r="P9" s="891">
        <v>0</v>
      </c>
      <c r="Q9" s="742">
        <v>0</v>
      </c>
      <c r="R9" s="892">
        <f>SUM(C9:Q9)</f>
        <v>25511.86506749464</v>
      </c>
      <c r="S9" s="743"/>
    </row>
    <row r="10" spans="1:28" hidden="1">
      <c r="A10" s="740" t="s">
        <v>521</v>
      </c>
      <c r="B10" s="762" t="s">
        <v>523</v>
      </c>
      <c r="C10" s="891">
        <f>'Struktura paliw łącznie'!I22+'Struktura paliw łącznie'!D22</f>
        <v>0</v>
      </c>
      <c r="D10" s="742"/>
      <c r="E10" s="891"/>
      <c r="F10" s="742">
        <f>'Struktura paliw łącznie'!D18</f>
        <v>0</v>
      </c>
      <c r="G10" s="742"/>
      <c r="H10" s="742"/>
      <c r="I10" s="742"/>
      <c r="J10" s="742"/>
      <c r="K10" s="742">
        <f>'Struktura paliw łącznie'!D17</f>
        <v>0</v>
      </c>
      <c r="L10" s="742"/>
      <c r="M10" s="742"/>
      <c r="N10" s="742"/>
      <c r="O10" s="891"/>
      <c r="P10" s="891"/>
      <c r="Q10" s="742"/>
      <c r="R10" s="892">
        <f t="shared" si="0"/>
        <v>0</v>
      </c>
      <c r="S10" s="743"/>
    </row>
    <row r="11" spans="1:28">
      <c r="A11" s="740">
        <v>4</v>
      </c>
      <c r="B11" s="745" t="s">
        <v>507</v>
      </c>
      <c r="C11" s="893">
        <f>'Struktura paliw łącznie'!F22</f>
        <v>216.06399999999996</v>
      </c>
      <c r="D11" s="742">
        <v>0</v>
      </c>
      <c r="E11" s="893">
        <v>0</v>
      </c>
      <c r="F11" s="742">
        <v>0</v>
      </c>
      <c r="G11" s="742">
        <v>0</v>
      </c>
      <c r="H11" s="742">
        <v>0</v>
      </c>
      <c r="I11" s="742">
        <v>0</v>
      </c>
      <c r="J11" s="742">
        <v>0</v>
      </c>
      <c r="K11" s="742"/>
      <c r="L11" s="742"/>
      <c r="M11" s="742"/>
      <c r="N11" s="742"/>
      <c r="O11" s="742"/>
      <c r="P11" s="742">
        <v>0</v>
      </c>
      <c r="Q11" s="742">
        <v>0</v>
      </c>
      <c r="R11" s="892">
        <f t="shared" si="0"/>
        <v>216.06399999999996</v>
      </c>
      <c r="S11" s="743">
        <f>R11</f>
        <v>216.06399999999996</v>
      </c>
    </row>
    <row r="12" spans="1:28" ht="41.4">
      <c r="A12" s="740">
        <v>5</v>
      </c>
      <c r="B12" s="894" t="s">
        <v>508</v>
      </c>
      <c r="C12" s="742">
        <v>0</v>
      </c>
      <c r="D12" s="742">
        <v>0</v>
      </c>
      <c r="E12" s="742">
        <v>0</v>
      </c>
      <c r="F12" s="742">
        <v>0</v>
      </c>
      <c r="G12" s="742">
        <v>0</v>
      </c>
      <c r="H12" s="742">
        <v>0</v>
      </c>
      <c r="I12" s="742">
        <v>0</v>
      </c>
      <c r="J12" s="742">
        <v>0</v>
      </c>
      <c r="K12" s="742">
        <v>0</v>
      </c>
      <c r="L12" s="742">
        <v>0</v>
      </c>
      <c r="M12" s="742">
        <v>0</v>
      </c>
      <c r="N12" s="742">
        <v>0</v>
      </c>
      <c r="O12" s="742">
        <v>0</v>
      </c>
      <c r="P12" s="742">
        <v>0</v>
      </c>
      <c r="Q12" s="742">
        <v>0</v>
      </c>
      <c r="R12" s="892">
        <f t="shared" si="0"/>
        <v>0</v>
      </c>
    </row>
    <row r="13" spans="1:28">
      <c r="A13" s="1237" t="s">
        <v>509</v>
      </c>
      <c r="B13" s="1237"/>
      <c r="C13" s="746">
        <f>C6+C7+C8+C11</f>
        <v>3354.58752</v>
      </c>
      <c r="D13" s="746">
        <f t="shared" ref="D13:Q13" si="2">D6+D7+D8+D11</f>
        <v>0</v>
      </c>
      <c r="E13" s="746">
        <f t="shared" si="2"/>
        <v>0</v>
      </c>
      <c r="F13" s="746">
        <f t="shared" si="2"/>
        <v>0</v>
      </c>
      <c r="G13" s="746">
        <f t="shared" si="2"/>
        <v>0</v>
      </c>
      <c r="H13" s="746">
        <f t="shared" si="2"/>
        <v>0</v>
      </c>
      <c r="I13" s="746">
        <f t="shared" si="2"/>
        <v>0</v>
      </c>
      <c r="J13" s="746">
        <f t="shared" si="2"/>
        <v>0</v>
      </c>
      <c r="K13" s="746">
        <f>K6+K7+K8+K11</f>
        <v>18472.127397124154</v>
      </c>
      <c r="L13" s="746">
        <f t="shared" si="2"/>
        <v>0</v>
      </c>
      <c r="M13" s="746">
        <f t="shared" si="2"/>
        <v>0</v>
      </c>
      <c r="N13" s="746">
        <f t="shared" si="2"/>
        <v>0</v>
      </c>
      <c r="O13" s="746">
        <f>O6+O7+O8+O11</f>
        <v>6362.5850396778478</v>
      </c>
      <c r="P13" s="746">
        <f t="shared" si="2"/>
        <v>0</v>
      </c>
      <c r="Q13" s="746">
        <f t="shared" si="2"/>
        <v>0</v>
      </c>
      <c r="R13" s="746">
        <f>R6+R7+R8+R11</f>
        <v>28189.299956801995</v>
      </c>
      <c r="S13" s="747">
        <f>S6+S7+S8+S11</f>
        <v>36018.415304099166</v>
      </c>
    </row>
    <row r="14" spans="1:28" ht="14.4">
      <c r="A14" s="1238" t="s">
        <v>510</v>
      </c>
      <c r="B14" s="1238"/>
      <c r="C14" s="1238"/>
      <c r="D14" s="1238"/>
      <c r="E14" s="1238"/>
      <c r="F14" s="1238"/>
      <c r="G14" s="1238"/>
      <c r="H14" s="1238"/>
      <c r="I14" s="1238"/>
      <c r="J14" s="1238"/>
      <c r="K14" s="1238"/>
      <c r="L14" s="1238"/>
      <c r="M14" s="1238"/>
      <c r="N14" s="1238"/>
      <c r="O14" s="1238"/>
      <c r="P14" s="1238"/>
      <c r="Q14" s="1238"/>
      <c r="R14" s="1238"/>
    </row>
    <row r="15" spans="1:28">
      <c r="A15" s="740">
        <v>6</v>
      </c>
      <c r="B15" s="748" t="s">
        <v>511</v>
      </c>
      <c r="C15" s="749">
        <v>0</v>
      </c>
      <c r="D15" s="749">
        <v>0</v>
      </c>
      <c r="E15" s="749">
        <v>0</v>
      </c>
      <c r="F15" s="749">
        <f>'Transport - emisja'!N54</f>
        <v>0</v>
      </c>
      <c r="G15" s="749">
        <v>0</v>
      </c>
      <c r="H15" s="749">
        <f>'Transport - emisja'!O53</f>
        <v>95.453984783888885</v>
      </c>
      <c r="I15" s="749">
        <f>'Transport - emisja'!O52</f>
        <v>0</v>
      </c>
      <c r="J15" s="749">
        <v>0</v>
      </c>
      <c r="K15" s="749">
        <v>0</v>
      </c>
      <c r="L15" s="749">
        <v>0</v>
      </c>
      <c r="M15" s="749">
        <v>0</v>
      </c>
      <c r="N15" s="749">
        <v>0</v>
      </c>
      <c r="O15" s="749">
        <v>0</v>
      </c>
      <c r="P15" s="749">
        <v>0</v>
      </c>
      <c r="Q15" s="749">
        <v>0</v>
      </c>
      <c r="R15" s="892">
        <f t="shared" ref="R15:R16" si="3">SUM(C15:Q15)</f>
        <v>95.453984783888885</v>
      </c>
    </row>
    <row r="16" spans="1:28" ht="12.75" customHeight="1">
      <c r="A16" s="740">
        <v>7</v>
      </c>
      <c r="B16" s="748" t="s">
        <v>512</v>
      </c>
      <c r="C16" s="749">
        <v>0</v>
      </c>
      <c r="D16" s="749">
        <v>0</v>
      </c>
      <c r="E16" s="749">
        <v>0</v>
      </c>
      <c r="F16" s="749">
        <v>0</v>
      </c>
      <c r="G16" s="749">
        <v>0</v>
      </c>
      <c r="H16" s="749">
        <v>0</v>
      </c>
      <c r="I16" s="749">
        <v>0</v>
      </c>
      <c r="J16" s="749">
        <v>0</v>
      </c>
      <c r="K16" s="749">
        <v>0</v>
      </c>
      <c r="L16" s="749">
        <v>0</v>
      </c>
      <c r="M16" s="749">
        <v>0</v>
      </c>
      <c r="N16" s="749">
        <v>0</v>
      </c>
      <c r="O16" s="749">
        <v>0</v>
      </c>
      <c r="P16" s="749">
        <v>0</v>
      </c>
      <c r="Q16" s="749">
        <v>0</v>
      </c>
      <c r="R16" s="892">
        <f t="shared" si="3"/>
        <v>0</v>
      </c>
    </row>
    <row r="17" spans="1:20">
      <c r="A17" s="740">
        <v>8</v>
      </c>
      <c r="B17" s="768" t="s">
        <v>447</v>
      </c>
      <c r="C17" s="749">
        <v>0</v>
      </c>
      <c r="D17" s="749">
        <v>0</v>
      </c>
      <c r="E17" s="749">
        <v>0</v>
      </c>
      <c r="F17" s="749">
        <f>'Transport - emisja'!O49</f>
        <v>1114.8583413173612</v>
      </c>
      <c r="G17" s="749"/>
      <c r="H17" s="749">
        <f>'Transport - emisja'!O48</f>
        <v>5802.6467626633339</v>
      </c>
      <c r="I17" s="749">
        <f>'Transport - emisja'!O47</f>
        <v>4157.5549269333333</v>
      </c>
      <c r="J17" s="749">
        <v>0</v>
      </c>
      <c r="K17" s="749">
        <v>0</v>
      </c>
      <c r="L17" s="749">
        <v>0</v>
      </c>
      <c r="M17" s="749">
        <v>0</v>
      </c>
      <c r="N17" s="749">
        <v>0</v>
      </c>
      <c r="O17" s="749">
        <v>0</v>
      </c>
      <c r="P17" s="749">
        <v>0</v>
      </c>
      <c r="Q17" s="749">
        <v>0</v>
      </c>
      <c r="R17" s="892">
        <f>SUM(C17:Q17)</f>
        <v>11075.060030914028</v>
      </c>
    </row>
    <row r="18" spans="1:20">
      <c r="A18" s="1239" t="s">
        <v>513</v>
      </c>
      <c r="B18" s="1239"/>
      <c r="C18" s="750">
        <f t="shared" ref="C18:E18" si="4">SUM(C15:C17)</f>
        <v>0</v>
      </c>
      <c r="D18" s="750">
        <f t="shared" si="4"/>
        <v>0</v>
      </c>
      <c r="E18" s="750">
        <f t="shared" si="4"/>
        <v>0</v>
      </c>
      <c r="F18" s="750">
        <f>SUM(F15:F17)</f>
        <v>1114.8583413173612</v>
      </c>
      <c r="G18" s="750">
        <f t="shared" ref="G18:Q18" si="5">SUM(G15:G17)</f>
        <v>0</v>
      </c>
      <c r="H18" s="750">
        <f t="shared" si="5"/>
        <v>5898.1007474472226</v>
      </c>
      <c r="I18" s="750">
        <f t="shared" si="5"/>
        <v>4157.5549269333333</v>
      </c>
      <c r="J18" s="750">
        <f t="shared" si="5"/>
        <v>0</v>
      </c>
      <c r="K18" s="750">
        <f t="shared" si="5"/>
        <v>0</v>
      </c>
      <c r="L18" s="750">
        <f t="shared" si="5"/>
        <v>0</v>
      </c>
      <c r="M18" s="750">
        <f t="shared" si="5"/>
        <v>0</v>
      </c>
      <c r="N18" s="750">
        <f t="shared" si="5"/>
        <v>0</v>
      </c>
      <c r="O18" s="750">
        <f t="shared" si="5"/>
        <v>0</v>
      </c>
      <c r="P18" s="750">
        <f t="shared" si="5"/>
        <v>0</v>
      </c>
      <c r="Q18" s="750">
        <f t="shared" si="5"/>
        <v>0</v>
      </c>
      <c r="R18" s="892">
        <f>SUM(C18:Q18)</f>
        <v>11170.514015697918</v>
      </c>
    </row>
    <row r="19" spans="1:20" s="753" customFormat="1">
      <c r="A19" s="1235" t="s">
        <v>514</v>
      </c>
      <c r="B19" s="1235"/>
      <c r="C19" s="751">
        <f t="shared" ref="C19:P19" si="6">C18+C13</f>
        <v>3354.58752</v>
      </c>
      <c r="D19" s="751">
        <f t="shared" si="6"/>
        <v>0</v>
      </c>
      <c r="E19" s="751">
        <f t="shared" si="6"/>
        <v>0</v>
      </c>
      <c r="F19" s="751">
        <f t="shared" si="6"/>
        <v>1114.8583413173612</v>
      </c>
      <c r="G19" s="751">
        <f>G18+G13</f>
        <v>0</v>
      </c>
      <c r="H19" s="751">
        <f>H18+H13</f>
        <v>5898.1007474472226</v>
      </c>
      <c r="I19" s="751">
        <f t="shared" ref="I19:K19" si="7">I18+I13</f>
        <v>4157.5549269333333</v>
      </c>
      <c r="J19" s="751">
        <f t="shared" si="7"/>
        <v>0</v>
      </c>
      <c r="K19" s="751">
        <f t="shared" si="7"/>
        <v>18472.127397124154</v>
      </c>
      <c r="L19" s="751">
        <f t="shared" si="6"/>
        <v>0</v>
      </c>
      <c r="M19" s="751">
        <f t="shared" si="6"/>
        <v>0</v>
      </c>
      <c r="N19" s="751">
        <f t="shared" si="6"/>
        <v>0</v>
      </c>
      <c r="O19" s="751">
        <f t="shared" si="6"/>
        <v>6362.5850396778478</v>
      </c>
      <c r="P19" s="751">
        <f t="shared" si="6"/>
        <v>0</v>
      </c>
      <c r="Q19" s="751">
        <f>Q18+Q13</f>
        <v>0</v>
      </c>
      <c r="R19" s="922">
        <f>R18+R13</f>
        <v>39359.813972499913</v>
      </c>
      <c r="S19" s="752">
        <f>'[4]Struktura paliw łącznie'!K26</f>
        <v>66136.513665441802</v>
      </c>
      <c r="T19" s="737"/>
    </row>
    <row r="21" spans="1:20" ht="15.75" customHeight="1">
      <c r="A21" s="1229" t="s">
        <v>515</v>
      </c>
      <c r="B21" s="1229"/>
      <c r="C21" s="754">
        <f>$R$19/$C$22</f>
        <v>8.2653956263124559</v>
      </c>
      <c r="D21" s="755" t="s">
        <v>98</v>
      </c>
      <c r="E21" s="756"/>
      <c r="F21" s="757"/>
      <c r="R21" s="747"/>
    </row>
    <row r="22" spans="1:20" ht="15.6">
      <c r="B22" s="758" t="s">
        <v>516</v>
      </c>
      <c r="C22" s="888">
        <v>4762</v>
      </c>
      <c r="D22" s="760" t="s">
        <v>517</v>
      </c>
      <c r="E22" s="759"/>
    </row>
  </sheetData>
  <mergeCells count="15">
    <mergeCell ref="A21:B21"/>
    <mergeCell ref="A1:AB1"/>
    <mergeCell ref="A2:A4"/>
    <mergeCell ref="B2:B4"/>
    <mergeCell ref="C2:R2"/>
    <mergeCell ref="C3:C4"/>
    <mergeCell ref="D3:D4"/>
    <mergeCell ref="E3:L3"/>
    <mergeCell ref="M3:Q3"/>
    <mergeCell ref="R3:R4"/>
    <mergeCell ref="A5:R5"/>
    <mergeCell ref="A13:B13"/>
    <mergeCell ref="A14:R14"/>
    <mergeCell ref="A18:B18"/>
    <mergeCell ref="A19:B19"/>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B27"/>
  <sheetViews>
    <sheetView view="pageBreakPreview" zoomScale="85" zoomScaleNormal="85" zoomScaleSheetLayoutView="85" workbookViewId="0">
      <selection activeCell="Q26" sqref="Q26"/>
    </sheetView>
  </sheetViews>
  <sheetFormatPr defaultColWidth="9" defaultRowHeight="13.8"/>
  <cols>
    <col min="1" max="1" width="4.69921875" style="737" customWidth="1"/>
    <col min="2" max="2" width="31" style="737" customWidth="1"/>
    <col min="3" max="3" width="9.09765625" style="737" customWidth="1"/>
    <col min="4" max="5" width="5.59765625" style="737" customWidth="1"/>
    <col min="6" max="6" width="6.59765625" style="737" customWidth="1"/>
    <col min="7" max="7" width="8" style="737" customWidth="1"/>
    <col min="8" max="8" width="7.69921875" style="737" customWidth="1"/>
    <col min="9" max="9" width="7.8984375" style="737" bestFit="1" customWidth="1"/>
    <col min="10" max="10" width="7.09765625" style="737" bestFit="1" customWidth="1"/>
    <col min="11" max="11" width="8.19921875" style="737" customWidth="1"/>
    <col min="12" max="12" width="8.69921875" style="737" bestFit="1" customWidth="1"/>
    <col min="13" max="13" width="6.5" style="737" bestFit="1" customWidth="1"/>
    <col min="14" max="14" width="7.8984375" style="737" customWidth="1"/>
    <col min="15" max="15" width="6.59765625" style="737" bestFit="1" customWidth="1"/>
    <col min="16" max="16" width="7.59765625" style="737" bestFit="1" customWidth="1"/>
    <col min="17" max="17" width="10.5" style="737" customWidth="1"/>
    <col min="18" max="18" width="7.8984375" style="759" bestFit="1" customWidth="1"/>
    <col min="19" max="19" width="11.5" style="737" hidden="1" customWidth="1"/>
    <col min="20" max="20" width="9" style="744"/>
    <col min="21" max="16384" width="9" style="737"/>
  </cols>
  <sheetData>
    <row r="1" spans="1:28" ht="15" thickBot="1">
      <c r="A1" s="1199" t="s">
        <v>528</v>
      </c>
      <c r="B1" s="1199"/>
      <c r="C1" s="1199"/>
      <c r="D1" s="1199"/>
      <c r="E1" s="1199"/>
      <c r="F1" s="1199"/>
      <c r="G1" s="1199"/>
      <c r="H1" s="1199"/>
      <c r="I1" s="1199"/>
      <c r="J1" s="1199"/>
      <c r="K1" s="1199"/>
      <c r="L1" s="1199"/>
      <c r="M1" s="1199"/>
      <c r="N1" s="1199"/>
      <c r="O1" s="1199"/>
      <c r="P1" s="1199"/>
      <c r="Q1" s="1199"/>
      <c r="R1" s="1199"/>
      <c r="S1" s="1063"/>
      <c r="T1" s="1063"/>
      <c r="U1" s="1063"/>
      <c r="V1" s="1063"/>
      <c r="W1" s="1063"/>
      <c r="X1" s="1063"/>
      <c r="Y1" s="1063"/>
      <c r="Z1" s="1063"/>
      <c r="AA1" s="1063"/>
      <c r="AB1" s="1063"/>
    </row>
    <row r="2" spans="1:28" s="899" customFormat="1" ht="18">
      <c r="A2" s="1258" t="s">
        <v>487</v>
      </c>
      <c r="B2" s="1261" t="s">
        <v>488</v>
      </c>
      <c r="C2" s="1264" t="s">
        <v>658</v>
      </c>
      <c r="D2" s="1265"/>
      <c r="E2" s="1265"/>
      <c r="F2" s="1265"/>
      <c r="G2" s="1265"/>
      <c r="H2" s="1265"/>
      <c r="I2" s="1265"/>
      <c r="J2" s="1265"/>
      <c r="K2" s="1265"/>
      <c r="L2" s="1265"/>
      <c r="M2" s="1265"/>
      <c r="N2" s="1265"/>
      <c r="O2" s="1265"/>
      <c r="P2" s="1265"/>
      <c r="Q2" s="1265"/>
      <c r="R2" s="1266"/>
      <c r="T2" s="900"/>
    </row>
    <row r="3" spans="1:28" s="899" customFormat="1" ht="12.75" customHeight="1">
      <c r="A3" s="1259"/>
      <c r="B3" s="1262"/>
      <c r="C3" s="1267" t="s">
        <v>9</v>
      </c>
      <c r="D3" s="1267" t="s">
        <v>490</v>
      </c>
      <c r="E3" s="1269" t="s">
        <v>491</v>
      </c>
      <c r="F3" s="1270"/>
      <c r="G3" s="1270"/>
      <c r="H3" s="1270"/>
      <c r="I3" s="1270"/>
      <c r="J3" s="1270"/>
      <c r="K3" s="1270"/>
      <c r="L3" s="1271"/>
      <c r="M3" s="1272" t="s">
        <v>492</v>
      </c>
      <c r="N3" s="1273"/>
      <c r="O3" s="1273"/>
      <c r="P3" s="1273"/>
      <c r="Q3" s="1274"/>
      <c r="R3" s="1275" t="s">
        <v>228</v>
      </c>
      <c r="T3" s="900"/>
    </row>
    <row r="4" spans="1:28" s="899" customFormat="1" ht="25.5" customHeight="1">
      <c r="A4" s="1260"/>
      <c r="B4" s="1263"/>
      <c r="C4" s="1268"/>
      <c r="D4" s="1268"/>
      <c r="E4" s="738" t="s">
        <v>6</v>
      </c>
      <c r="F4" s="738" t="s">
        <v>493</v>
      </c>
      <c r="G4" s="738" t="s">
        <v>7</v>
      </c>
      <c r="H4" s="738" t="s">
        <v>494</v>
      </c>
      <c r="I4" s="738" t="s">
        <v>216</v>
      </c>
      <c r="J4" s="738" t="s">
        <v>495</v>
      </c>
      <c r="K4" s="738" t="s">
        <v>496</v>
      </c>
      <c r="L4" s="738" t="s">
        <v>497</v>
      </c>
      <c r="M4" s="890" t="s">
        <v>498</v>
      </c>
      <c r="N4" s="890" t="s">
        <v>499</v>
      </c>
      <c r="O4" s="890" t="s">
        <v>500</v>
      </c>
      <c r="P4" s="890" t="s">
        <v>501</v>
      </c>
      <c r="Q4" s="890" t="s">
        <v>502</v>
      </c>
      <c r="R4" s="1276"/>
      <c r="S4" s="901"/>
      <c r="T4" s="900"/>
      <c r="U4" s="902"/>
      <c r="V4" s="902"/>
      <c r="W4" s="902"/>
    </row>
    <row r="5" spans="1:28" s="899" customFormat="1" ht="14.4">
      <c r="A5" s="1244" t="s">
        <v>503</v>
      </c>
      <c r="B5" s="1245"/>
      <c r="C5" s="1245"/>
      <c r="D5" s="1245"/>
      <c r="E5" s="1245"/>
      <c r="F5" s="1245"/>
      <c r="G5" s="1245"/>
      <c r="H5" s="1245"/>
      <c r="I5" s="1245"/>
      <c r="J5" s="1245"/>
      <c r="K5" s="1245"/>
      <c r="L5" s="1245"/>
      <c r="M5" s="1245"/>
      <c r="N5" s="1245"/>
      <c r="O5" s="1245"/>
      <c r="P5" s="1245"/>
      <c r="Q5" s="1245"/>
      <c r="R5" s="1246"/>
      <c r="S5" s="901">
        <f>K6+G6+C6</f>
        <v>358.1568257018115</v>
      </c>
      <c r="T5" s="900"/>
      <c r="U5" s="902"/>
      <c r="V5" s="902"/>
      <c r="W5" s="902"/>
    </row>
    <row r="6" spans="1:28" s="899" customFormat="1" ht="27.6">
      <c r="A6" s="903">
        <v>1</v>
      </c>
      <c r="B6" s="904" t="s">
        <v>504</v>
      </c>
      <c r="C6" s="898">
        <f>'Prezentacja wyników - MWh'!C6*'Prezentacja wyników - CO2'!$C$24</f>
        <v>150.80915499999998</v>
      </c>
      <c r="D6" s="898">
        <f>'Prezentacja wyników - MWh'!D6*'Prezentacja wyników - CO2'!$D$24</f>
        <v>0</v>
      </c>
      <c r="E6" s="898">
        <f>'Prezentacja wyników - MWh'!E6*'Prezentacja wyników - CO2'!$E$24</f>
        <v>0</v>
      </c>
      <c r="F6" s="898">
        <f>'Prezentacja wyników - MWh'!F6*'Prezentacja wyników - CO2'!$F$24</f>
        <v>0</v>
      </c>
      <c r="G6" s="898">
        <f>'Prezentacja wyników - MWh'!G6*'Prezentacja wyników - CO2'!$G$24</f>
        <v>0</v>
      </c>
      <c r="H6" s="898">
        <f>'Prezentacja wyników - MWh'!H6*'Prezentacja wyników - CO2'!$H$24</f>
        <v>0</v>
      </c>
      <c r="I6" s="898">
        <f>'Prezentacja wyników - MWh'!I6*'Prezentacja wyników - CO2'!$I$24</f>
        <v>0</v>
      </c>
      <c r="J6" s="898">
        <f>'Prezentacja wyników - MWh'!J6*'Prezentacja wyników - CO2'!$J$24</f>
        <v>0</v>
      </c>
      <c r="K6" s="898">
        <f>'Prezentacja wyników - MWh'!K6*'Prezentacja wyników - CO2'!$K$24</f>
        <v>207.3476707018115</v>
      </c>
      <c r="L6" s="898">
        <f>'Prezentacja wyników - MWh'!L6*'Prezentacja wyników - CO2'!$L$24</f>
        <v>0</v>
      </c>
      <c r="M6" s="898">
        <f>'Prezentacja wyników - MWh'!M6*'Prezentacja wyników - CO2'!$M$24</f>
        <v>0</v>
      </c>
      <c r="N6" s="898">
        <f>'Prezentacja wyników - MWh'!N6*'Prezentacja wyników - CO2'!$N$24</f>
        <v>0</v>
      </c>
      <c r="O6" s="898">
        <f>'Prezentacja wyników - MWh'!O6*'Prezentacja wyników - CO2'!$O$24</f>
        <v>0</v>
      </c>
      <c r="P6" s="898">
        <f>'Prezentacja wyników - MWh'!P6*'Prezentacja wyników - CO2'!$P$24</f>
        <v>0</v>
      </c>
      <c r="Q6" s="898">
        <f>'Prezentacja wyników - MWh'!Q6*'Prezentacja wyników - CO2'!$Q$24</f>
        <v>0</v>
      </c>
      <c r="R6" s="892">
        <f>SUM(C6:Q6)</f>
        <v>358.1568257018115</v>
      </c>
      <c r="S6" s="905">
        <f>'[4]Łączna emisja'!E6</f>
        <v>943.99472475768948</v>
      </c>
      <c r="T6" s="900"/>
    </row>
    <row r="7" spans="1:28" s="899" customFormat="1" ht="27.6">
      <c r="A7" s="903">
        <v>2</v>
      </c>
      <c r="B7" s="904" t="s">
        <v>555</v>
      </c>
      <c r="C7" s="898">
        <f>'Prezentacja wyników - MWh'!C7*'Prezentacja wyników - CO2'!$C$24</f>
        <v>0</v>
      </c>
      <c r="D7" s="898">
        <f>'Prezentacja wyników - MWh'!D7*'Prezentacja wyników - CO2'!$D$24</f>
        <v>0</v>
      </c>
      <c r="E7" s="898">
        <f>'Prezentacja wyników - MWh'!E7*'Prezentacja wyników - CO2'!$E$24</f>
        <v>0</v>
      </c>
      <c r="F7" s="906">
        <f>'Prezentacja wyników - MWh'!F7*'Prezentacja wyników - CO2'!$F$24</f>
        <v>0</v>
      </c>
      <c r="G7" s="898">
        <f>'Prezentacja wyników - MWh'!G7*'Prezentacja wyników - CO2'!$G$24</f>
        <v>0</v>
      </c>
      <c r="H7" s="898">
        <f>'Prezentacja wyników - MWh'!H7*'Prezentacja wyników - CO2'!$H$24</f>
        <v>0</v>
      </c>
      <c r="I7" s="898">
        <f>'Prezentacja wyników - MWh'!I7*'Prezentacja wyników - CO2'!$I$24</f>
        <v>0</v>
      </c>
      <c r="J7" s="898">
        <f>'Prezentacja wyników - MWh'!J7*'Prezentacja wyników - CO2'!$J$24</f>
        <v>0</v>
      </c>
      <c r="K7" s="898">
        <f>'Prezentacja wyników - MWh'!K7*'Prezentacja wyników - CO2'!$K$24</f>
        <v>184.99822764267398</v>
      </c>
      <c r="L7" s="898">
        <f>'Prezentacja wyników - MWh'!L7*'Prezentacja wyników - CO2'!$L$24</f>
        <v>0</v>
      </c>
      <c r="M7" s="898">
        <f>'Prezentacja wyników - MWh'!M7*'Prezentacja wyników - CO2'!$M$24</f>
        <v>0</v>
      </c>
      <c r="N7" s="898">
        <f>'Prezentacja wyników - MWh'!N7*'Prezentacja wyników - CO2'!$N$24</f>
        <v>0</v>
      </c>
      <c r="O7" s="898">
        <f>'Prezentacja wyników - MWh'!O7*'Prezentacja wyników - CO2'!$O$24</f>
        <v>0</v>
      </c>
      <c r="P7" s="898">
        <f>'Prezentacja wyników - MWh'!P7*'Prezentacja wyników - CO2'!$P$24</f>
        <v>0</v>
      </c>
      <c r="Q7" s="898">
        <f>'Prezentacja wyników - MWh'!Q7*'Prezentacja wyników - CO2'!$Q$24</f>
        <v>0</v>
      </c>
      <c r="R7" s="892">
        <f>SUM(C7:Q7)</f>
        <v>184.99822764267398</v>
      </c>
      <c r="S7" s="907">
        <f>'[4]Łączna emisja'!E7</f>
        <v>1186.02929926</v>
      </c>
      <c r="T7" s="900"/>
    </row>
    <row r="8" spans="1:28" s="899" customFormat="1">
      <c r="A8" s="903">
        <v>3</v>
      </c>
      <c r="B8" s="904" t="s">
        <v>506</v>
      </c>
      <c r="C8" s="898">
        <f>'Prezentacja wyników - MWh'!C8*'Prezentacja wyników - CO2'!$C$24</f>
        <v>2458.8731518800005</v>
      </c>
      <c r="D8" s="898">
        <f>'Prezentacja wyników - MWh'!D8*'Prezentacja wyników - CO2'!$D$24</f>
        <v>0</v>
      </c>
      <c r="E8" s="898">
        <f>'Prezentacja wyników - MWh'!E8*'Prezentacja wyników - CO2'!$E$24</f>
        <v>0</v>
      </c>
      <c r="F8" s="898">
        <f>'Prezentacja wyników - MWh'!F8*'Prezentacja wyników - CO2'!$F$24</f>
        <v>0</v>
      </c>
      <c r="G8" s="898">
        <f>'Prezentacja wyników - MWh'!G8*'Prezentacja wyników - CO2'!$G$24</f>
        <v>0</v>
      </c>
      <c r="H8" s="898">
        <f>'Prezentacja wyników - MWh'!H8*'Prezentacja wyników - CO2'!$H$24</f>
        <v>0</v>
      </c>
      <c r="I8" s="898">
        <f>'Prezentacja wyników - MWh'!I8*'Prezentacja wyników - CO2'!$I$24</f>
        <v>0</v>
      </c>
      <c r="J8" s="898">
        <f>'Prezentacja wyników - MWh'!J8*'Prezentacja wyników - CO2'!$J$24</f>
        <v>0</v>
      </c>
      <c r="K8" s="898">
        <f>'Prezentacja wyników - MWh'!K8*'Prezentacja wyników - CO2'!$K$24</f>
        <v>5841.3321015986194</v>
      </c>
      <c r="L8" s="898">
        <f>'Prezentacja wyników - MWh'!L8*'Prezentacja wyników - CO2'!$L$24</f>
        <v>0</v>
      </c>
      <c r="M8" s="898">
        <f>'Prezentacja wyników - MWh'!M8*'Prezentacja wyników - CO2'!$M$24</f>
        <v>0</v>
      </c>
      <c r="N8" s="898">
        <f>'Prezentacja wyników - MWh'!N8*'Prezentacja wyników - CO2'!$N$24</f>
        <v>0</v>
      </c>
      <c r="O8" s="898">
        <f>'Prezentacja wyników - MWh'!O8*'Prezentacja wyników - CO2'!$O$24</f>
        <v>0</v>
      </c>
      <c r="P8" s="898">
        <f>'Prezentacja wyników - MWh'!P8*'Prezentacja wyników - CO2'!$P$24</f>
        <v>0</v>
      </c>
      <c r="Q8" s="898">
        <f>'Prezentacja wyników - MWh'!Q8*'Prezentacja wyników - CO2'!$Q$24</f>
        <v>0</v>
      </c>
      <c r="R8" s="892">
        <f t="shared" ref="R8:R12" si="0">SUM(C8:Q8)</f>
        <v>8300.2052534786199</v>
      </c>
      <c r="S8" s="908">
        <f>'[4]Łączna emisja'!E5</f>
        <v>10741.298288571144</v>
      </c>
      <c r="T8" s="900"/>
    </row>
    <row r="9" spans="1:28" s="899" customFormat="1">
      <c r="A9" s="903" t="s">
        <v>520</v>
      </c>
      <c r="B9" s="909" t="s">
        <v>522</v>
      </c>
      <c r="C9" s="898">
        <f>'Prezentacja wyników - MWh'!C9*'Prezentacja wyników - CO2'!$C$24</f>
        <v>2458.8731518800005</v>
      </c>
      <c r="D9" s="898">
        <f>'Prezentacja wyników - MWh'!D9*'Prezentacja wyników - CO2'!$D$24</f>
        <v>0</v>
      </c>
      <c r="E9" s="898">
        <f>'Prezentacja wyników - MWh'!E9*'Prezentacja wyników - CO2'!$E$24</f>
        <v>0</v>
      </c>
      <c r="F9" s="898">
        <f>'Prezentacja wyników - MWh'!F9*'Prezentacja wyników - CO2'!$F$24</f>
        <v>0</v>
      </c>
      <c r="G9" s="898">
        <f>'Prezentacja wyników - MWh'!G9*'Prezentacja wyników - CO2'!$G$24</f>
        <v>0</v>
      </c>
      <c r="H9" s="898">
        <f>'Prezentacja wyników - MWh'!H9*'Prezentacja wyników - CO2'!$H$24</f>
        <v>0</v>
      </c>
      <c r="I9" s="898">
        <f>'Prezentacja wyników - MWh'!I9*'Prezentacja wyników - CO2'!$I$24</f>
        <v>0</v>
      </c>
      <c r="J9" s="898">
        <f>'Prezentacja wyników - MWh'!J9*'Prezentacja wyników - CO2'!$J$24</f>
        <v>0</v>
      </c>
      <c r="K9" s="898">
        <f>'Prezentacja wyników - MWh'!K9*'Prezentacja wyników - CO2'!$K$24</f>
        <v>5841.3321015986194</v>
      </c>
      <c r="L9" s="898">
        <f>'Prezentacja wyników - MWh'!L9*'Prezentacja wyników - CO2'!$L$24</f>
        <v>0</v>
      </c>
      <c r="M9" s="898">
        <f>'Prezentacja wyników - MWh'!M9*'Prezentacja wyników - CO2'!$M$24</f>
        <v>0</v>
      </c>
      <c r="N9" s="898">
        <f>'Prezentacja wyników - MWh'!N9*'Prezentacja wyników - CO2'!$N$24</f>
        <v>0</v>
      </c>
      <c r="O9" s="898">
        <f>'Prezentacja wyników - MWh'!O9*'Prezentacja wyników - CO2'!$O$24</f>
        <v>0</v>
      </c>
      <c r="P9" s="898">
        <f>'Prezentacja wyników - MWh'!P9*'Prezentacja wyników - CO2'!$P$24</f>
        <v>0</v>
      </c>
      <c r="Q9" s="898">
        <f>'Prezentacja wyników - MWh'!Q9*'Prezentacja wyników - CO2'!$Q$24</f>
        <v>0</v>
      </c>
      <c r="R9" s="892">
        <f t="shared" si="0"/>
        <v>8300.2052534786199</v>
      </c>
      <c r="S9" s="910"/>
      <c r="T9" s="900"/>
    </row>
    <row r="10" spans="1:28" s="899" customFormat="1">
      <c r="A10" s="903" t="s">
        <v>521</v>
      </c>
      <c r="B10" s="909" t="s">
        <v>523</v>
      </c>
      <c r="C10" s="898">
        <f>'Prezentacja wyników - MWh'!C10*'Prezentacja wyników - CO2'!$C$24</f>
        <v>0</v>
      </c>
      <c r="D10" s="898">
        <f>'Prezentacja wyników - MWh'!D10*'Prezentacja wyników - CO2'!$D$24</f>
        <v>0</v>
      </c>
      <c r="E10" s="898">
        <f>'Prezentacja wyników - MWh'!E10*'Prezentacja wyników - CO2'!$E$24</f>
        <v>0</v>
      </c>
      <c r="F10" s="898">
        <f>'Prezentacja wyników - MWh'!F10*'Prezentacja wyników - CO2'!$F$24</f>
        <v>0</v>
      </c>
      <c r="G10" s="898">
        <f>'Prezentacja wyników - MWh'!G10*'Prezentacja wyników - CO2'!$G$24</f>
        <v>0</v>
      </c>
      <c r="H10" s="898">
        <f>'Prezentacja wyników - MWh'!H10*'Prezentacja wyników - CO2'!$H$24</f>
        <v>0</v>
      </c>
      <c r="I10" s="898">
        <f>'Prezentacja wyników - MWh'!I10*'Prezentacja wyników - CO2'!$I$24</f>
        <v>0</v>
      </c>
      <c r="J10" s="898">
        <f>'Prezentacja wyników - MWh'!J10*'Prezentacja wyników - CO2'!$J$24</f>
        <v>0</v>
      </c>
      <c r="K10" s="898">
        <f>'Prezentacja wyników - MWh'!K10*'Prezentacja wyników - CO2'!$K$24</f>
        <v>0</v>
      </c>
      <c r="L10" s="898">
        <f>'Prezentacja wyników - MWh'!L10*'Prezentacja wyników - CO2'!$L$24</f>
        <v>0</v>
      </c>
      <c r="M10" s="898">
        <f>'Prezentacja wyników - MWh'!M10*'Prezentacja wyników - CO2'!$M$24</f>
        <v>0</v>
      </c>
      <c r="N10" s="898">
        <f>'Prezentacja wyników - MWh'!N10*'Prezentacja wyników - CO2'!$N$24</f>
        <v>0</v>
      </c>
      <c r="O10" s="898">
        <f>'Prezentacja wyników - MWh'!O10*'Prezentacja wyników - CO2'!$O$24</f>
        <v>0</v>
      </c>
      <c r="P10" s="898">
        <f>'Prezentacja wyników - MWh'!P10*'Prezentacja wyników - CO2'!$P$24</f>
        <v>0</v>
      </c>
      <c r="Q10" s="898">
        <f>'Prezentacja wyników - MWh'!Q10*'Prezentacja wyników - CO2'!$Q$24</f>
        <v>0</v>
      </c>
      <c r="R10" s="892">
        <f t="shared" si="0"/>
        <v>0</v>
      </c>
      <c r="S10" s="910"/>
      <c r="T10" s="900"/>
    </row>
    <row r="11" spans="1:28" s="914" customFormat="1">
      <c r="A11" s="911">
        <v>4</v>
      </c>
      <c r="B11" s="912" t="s">
        <v>507</v>
      </c>
      <c r="C11" s="898">
        <f>'Prezentacja wyników - MWh'!C11*'Prezentacja wyników - CO2'!$C$24</f>
        <v>179.65721599999998</v>
      </c>
      <c r="D11" s="898">
        <f>'Prezentacja wyników - MWh'!D11*'Prezentacja wyników - CO2'!$D$24</f>
        <v>0</v>
      </c>
      <c r="E11" s="898">
        <f>'Prezentacja wyników - MWh'!E11*'Prezentacja wyników - CO2'!$E$24</f>
        <v>0</v>
      </c>
      <c r="F11" s="898">
        <f>'Prezentacja wyników - MWh'!F11*'Prezentacja wyników - CO2'!$F$24</f>
        <v>0</v>
      </c>
      <c r="G11" s="898">
        <f>'Prezentacja wyników - MWh'!G11*'Prezentacja wyników - CO2'!$G$24</f>
        <v>0</v>
      </c>
      <c r="H11" s="898">
        <f>'Prezentacja wyników - MWh'!H11*'Prezentacja wyników - CO2'!$H$24</f>
        <v>0</v>
      </c>
      <c r="I11" s="898">
        <f>'Prezentacja wyników - MWh'!I11*'Prezentacja wyników - CO2'!$I$24</f>
        <v>0</v>
      </c>
      <c r="J11" s="898">
        <f>'Prezentacja wyników - MWh'!J11*'Prezentacja wyników - CO2'!$J$24</f>
        <v>0</v>
      </c>
      <c r="K11" s="898">
        <f>'Prezentacja wyników - MWh'!K11*'Prezentacja wyników - CO2'!$K$24</f>
        <v>0</v>
      </c>
      <c r="L11" s="898">
        <f>'Prezentacja wyników - MWh'!L11*'Prezentacja wyników - CO2'!$L$24</f>
        <v>0</v>
      </c>
      <c r="M11" s="898">
        <f>'Prezentacja wyników - MWh'!M11*'Prezentacja wyników - CO2'!$M$24</f>
        <v>0</v>
      </c>
      <c r="N11" s="898">
        <f>'Prezentacja wyników - MWh'!N11*'Prezentacja wyników - CO2'!$N$24</f>
        <v>0</v>
      </c>
      <c r="O11" s="898">
        <f>'Prezentacja wyników - MWh'!O11*'Prezentacja wyników - CO2'!$O$24</f>
        <v>0</v>
      </c>
      <c r="P11" s="898">
        <f>'Prezentacja wyników - MWh'!P11*'Prezentacja wyników - CO2'!$P$24</f>
        <v>0</v>
      </c>
      <c r="Q11" s="898">
        <f>'Prezentacja wyników - MWh'!Q11*'Prezentacja wyników - CO2'!$Q$24</f>
        <v>0</v>
      </c>
      <c r="R11" s="892">
        <f t="shared" si="0"/>
        <v>179.65721599999998</v>
      </c>
      <c r="S11" s="908">
        <f>'[4]Łączna emisja'!E10</f>
        <v>324.28500000000003</v>
      </c>
      <c r="T11" s="913"/>
    </row>
    <row r="12" spans="1:28" s="914" customFormat="1" ht="41.4">
      <c r="A12" s="911">
        <v>5</v>
      </c>
      <c r="B12" s="915" t="s">
        <v>529</v>
      </c>
      <c r="C12" s="898">
        <f>'Prezentacja wyników - MWh'!C12*'Prezentacja wyników - CO2'!$C$24</f>
        <v>0</v>
      </c>
      <c r="D12" s="898">
        <f>'Prezentacja wyników - MWh'!D12*'Prezentacja wyników - CO2'!$D$24</f>
        <v>0</v>
      </c>
      <c r="E12" s="898">
        <f>'Prezentacja wyników - MWh'!E12*'Prezentacja wyników - CO2'!$E$24</f>
        <v>0</v>
      </c>
      <c r="F12" s="898">
        <f>'Prezentacja wyników - MWh'!F12*'Prezentacja wyników - CO2'!$F$24</f>
        <v>0</v>
      </c>
      <c r="G12" s="898">
        <f>'Prezentacja wyników - MWh'!G12*'Prezentacja wyników - CO2'!$G$24</f>
        <v>0</v>
      </c>
      <c r="H12" s="898">
        <f>'Prezentacja wyników - MWh'!H12*'Prezentacja wyników - CO2'!$H$24</f>
        <v>0</v>
      </c>
      <c r="I12" s="898">
        <f>'Prezentacja wyników - MWh'!I12*'Prezentacja wyników - CO2'!$I$24</f>
        <v>0</v>
      </c>
      <c r="J12" s="898">
        <f>'Prezentacja wyników - MWh'!J12*'Prezentacja wyników - CO2'!$J$24</f>
        <v>0</v>
      </c>
      <c r="K12" s="898">
        <f>'Prezentacja wyników - MWh'!K12*'Prezentacja wyników - CO2'!$K$24</f>
        <v>0</v>
      </c>
      <c r="L12" s="898">
        <f>'Prezentacja wyników - MWh'!L12*'Prezentacja wyników - CO2'!$L$24</f>
        <v>0</v>
      </c>
      <c r="M12" s="898">
        <f>'Prezentacja wyników - MWh'!M12*'Prezentacja wyników - CO2'!$M$24</f>
        <v>0</v>
      </c>
      <c r="N12" s="898">
        <f>'Prezentacja wyników - MWh'!N12*'Prezentacja wyników - CO2'!$N$24</f>
        <v>0</v>
      </c>
      <c r="O12" s="898">
        <f>'Prezentacja wyników - MWh'!O12*'Prezentacja wyników - CO2'!$O$24</f>
        <v>0</v>
      </c>
      <c r="P12" s="898">
        <f>'Prezentacja wyników - MWh'!P12*'Prezentacja wyników - CO2'!$P$24</f>
        <v>0</v>
      </c>
      <c r="Q12" s="898">
        <f>'Prezentacja wyników - MWh'!Q12*'Prezentacja wyników - CO2'!$Q$24</f>
        <v>0</v>
      </c>
      <c r="R12" s="892">
        <f t="shared" si="0"/>
        <v>0</v>
      </c>
      <c r="S12" s="910"/>
      <c r="T12" s="913"/>
    </row>
    <row r="13" spans="1:28">
      <c r="A13" s="1237" t="s">
        <v>509</v>
      </c>
      <c r="B13" s="1237"/>
      <c r="C13" s="746">
        <f t="shared" ref="C13:R13" si="1">C6+C7+C8+C11+C12</f>
        <v>2789.3395228800005</v>
      </c>
      <c r="D13" s="746">
        <f t="shared" si="1"/>
        <v>0</v>
      </c>
      <c r="E13" s="746">
        <f t="shared" si="1"/>
        <v>0</v>
      </c>
      <c r="F13" s="746">
        <f t="shared" si="1"/>
        <v>0</v>
      </c>
      <c r="G13" s="746">
        <f t="shared" si="1"/>
        <v>0</v>
      </c>
      <c r="H13" s="746">
        <f t="shared" si="1"/>
        <v>0</v>
      </c>
      <c r="I13" s="746">
        <f t="shared" si="1"/>
        <v>0</v>
      </c>
      <c r="J13" s="746">
        <f t="shared" si="1"/>
        <v>0</v>
      </c>
      <c r="K13" s="746">
        <f t="shared" si="1"/>
        <v>6233.6779999431046</v>
      </c>
      <c r="L13" s="746">
        <f t="shared" si="1"/>
        <v>0</v>
      </c>
      <c r="M13" s="746">
        <f t="shared" si="1"/>
        <v>0</v>
      </c>
      <c r="N13" s="746">
        <f t="shared" si="1"/>
        <v>0</v>
      </c>
      <c r="O13" s="746">
        <f t="shared" si="1"/>
        <v>0</v>
      </c>
      <c r="P13" s="746">
        <f t="shared" si="1"/>
        <v>0</v>
      </c>
      <c r="Q13" s="746">
        <f t="shared" si="1"/>
        <v>0</v>
      </c>
      <c r="R13" s="746">
        <f t="shared" si="1"/>
        <v>9023.0175228231055</v>
      </c>
      <c r="S13" s="747"/>
      <c r="T13" s="737"/>
    </row>
    <row r="14" spans="1:28" ht="14.4">
      <c r="A14" s="1238" t="s">
        <v>510</v>
      </c>
      <c r="B14" s="1238"/>
      <c r="C14" s="1238"/>
      <c r="D14" s="1238"/>
      <c r="E14" s="1238"/>
      <c r="F14" s="1238"/>
      <c r="G14" s="1238"/>
      <c r="H14" s="1238"/>
      <c r="I14" s="1238"/>
      <c r="J14" s="1238"/>
      <c r="K14" s="1238"/>
      <c r="L14" s="1238"/>
      <c r="M14" s="1238"/>
      <c r="N14" s="1238"/>
      <c r="O14" s="1238"/>
      <c r="P14" s="1238"/>
      <c r="Q14" s="1238"/>
      <c r="R14" s="1238"/>
      <c r="T14" s="737"/>
    </row>
    <row r="15" spans="1:28" s="899" customFormat="1">
      <c r="A15" s="903">
        <v>6</v>
      </c>
      <c r="B15" s="916" t="s">
        <v>511</v>
      </c>
      <c r="C15" s="906">
        <v>0</v>
      </c>
      <c r="D15" s="906">
        <v>0</v>
      </c>
      <c r="E15" s="906">
        <v>0</v>
      </c>
      <c r="F15" s="917">
        <f>$F$24*'Prezentacja wyników - MWh'!F15</f>
        <v>0</v>
      </c>
      <c r="G15" s="906">
        <v>0</v>
      </c>
      <c r="H15" s="917">
        <f>$H$24*'Prezentacja wyników - MWh'!H15</f>
        <v>24.902188876</v>
      </c>
      <c r="I15" s="917">
        <f>$I$24*'Prezentacja wyników - MWh'!I15</f>
        <v>0</v>
      </c>
      <c r="J15" s="906">
        <v>0</v>
      </c>
      <c r="K15" s="906">
        <v>0</v>
      </c>
      <c r="L15" s="906">
        <v>0</v>
      </c>
      <c r="M15" s="906">
        <v>0</v>
      </c>
      <c r="N15" s="906">
        <v>0</v>
      </c>
      <c r="O15" s="906">
        <v>0</v>
      </c>
      <c r="P15" s="906">
        <v>0</v>
      </c>
      <c r="Q15" s="906">
        <v>0</v>
      </c>
      <c r="R15" s="892">
        <f t="shared" ref="R15:R16" si="2">SUM(C15:Q15)</f>
        <v>24.902188876</v>
      </c>
      <c r="S15" s="910"/>
      <c r="T15" s="900"/>
    </row>
    <row r="16" spans="1:28" s="899" customFormat="1">
      <c r="A16" s="903">
        <v>7</v>
      </c>
      <c r="B16" s="916" t="s">
        <v>512</v>
      </c>
      <c r="C16" s="906">
        <v>0</v>
      </c>
      <c r="D16" s="906">
        <v>0</v>
      </c>
      <c r="E16" s="906">
        <v>0</v>
      </c>
      <c r="F16" s="917">
        <f>$F$24*'Prezentacja wyników - MWh'!F16</f>
        <v>0</v>
      </c>
      <c r="G16" s="906">
        <v>0</v>
      </c>
      <c r="H16" s="917">
        <f>$H$24*'Prezentacja wyników - MWh'!H16</f>
        <v>0</v>
      </c>
      <c r="I16" s="917">
        <f>$I$24*'Prezentacja wyników - MWh'!I16</f>
        <v>0</v>
      </c>
      <c r="J16" s="906">
        <v>0</v>
      </c>
      <c r="K16" s="906">
        <v>0</v>
      </c>
      <c r="L16" s="906">
        <v>0</v>
      </c>
      <c r="M16" s="906">
        <v>0</v>
      </c>
      <c r="N16" s="906">
        <v>0</v>
      </c>
      <c r="O16" s="906">
        <v>0</v>
      </c>
      <c r="P16" s="906">
        <v>0</v>
      </c>
      <c r="Q16" s="906">
        <v>0</v>
      </c>
      <c r="R16" s="892">
        <f t="shared" si="2"/>
        <v>0</v>
      </c>
      <c r="S16" s="910"/>
      <c r="T16" s="900"/>
    </row>
    <row r="17" spans="1:20" s="899" customFormat="1">
      <c r="A17" s="903">
        <v>8</v>
      </c>
      <c r="B17" s="918" t="s">
        <v>447</v>
      </c>
      <c r="C17" s="906">
        <v>0</v>
      </c>
      <c r="D17" s="906">
        <v>0</v>
      </c>
      <c r="E17" s="906">
        <v>0</v>
      </c>
      <c r="F17" s="917">
        <f>$F$24*'Prezentacja wyników - MWh'!F17</f>
        <v>263.51902974355005</v>
      </c>
      <c r="G17" s="917">
        <f>G24*'[4]Prezentacja wyników - MWh'!G15</f>
        <v>0</v>
      </c>
      <c r="H17" s="917">
        <f>$H$24*'Prezentacja wyników - MWh'!H17</f>
        <v>1513.8038081040004</v>
      </c>
      <c r="I17" s="917">
        <f>$I$24*'Prezentacja wyników - MWh'!I17</f>
        <v>1062.4037679360003</v>
      </c>
      <c r="J17" s="906">
        <v>0</v>
      </c>
      <c r="K17" s="906">
        <v>0</v>
      </c>
      <c r="L17" s="906">
        <v>0</v>
      </c>
      <c r="M17" s="906">
        <v>0</v>
      </c>
      <c r="N17" s="906">
        <v>0</v>
      </c>
      <c r="O17" s="906">
        <v>0</v>
      </c>
      <c r="P17" s="906">
        <v>0</v>
      </c>
      <c r="Q17" s="906">
        <v>0</v>
      </c>
      <c r="R17" s="892">
        <f>SUM(C17:Q17)</f>
        <v>2839.7266057835509</v>
      </c>
      <c r="S17" s="919"/>
      <c r="T17" s="900"/>
    </row>
    <row r="18" spans="1:20" s="899" customFormat="1">
      <c r="A18" s="1247" t="s">
        <v>513</v>
      </c>
      <c r="B18" s="1248"/>
      <c r="C18" s="920">
        <f t="shared" ref="C18:E18" si="3">SUM(C15:C17)</f>
        <v>0</v>
      </c>
      <c r="D18" s="920">
        <f t="shared" si="3"/>
        <v>0</v>
      </c>
      <c r="E18" s="920">
        <f t="shared" si="3"/>
        <v>0</v>
      </c>
      <c r="F18" s="920">
        <f>SUM(F15:F17)</f>
        <v>263.51902974355005</v>
      </c>
      <c r="G18" s="920">
        <f>SUM(G15:G17)</f>
        <v>0</v>
      </c>
      <c r="H18" s="920">
        <f t="shared" ref="H18" si="4">SUM(H15:H17)</f>
        <v>1538.7059969800005</v>
      </c>
      <c r="I18" s="920">
        <f>SUM(I15:I17)</f>
        <v>1062.4037679360003</v>
      </c>
      <c r="J18" s="920">
        <f t="shared" ref="J18:Q18" si="5">SUM(J15:J17)</f>
        <v>0</v>
      </c>
      <c r="K18" s="920">
        <f t="shared" si="5"/>
        <v>0</v>
      </c>
      <c r="L18" s="920">
        <f t="shared" si="5"/>
        <v>0</v>
      </c>
      <c r="M18" s="920">
        <f t="shared" si="5"/>
        <v>0</v>
      </c>
      <c r="N18" s="920">
        <f t="shared" si="5"/>
        <v>0</v>
      </c>
      <c r="O18" s="920">
        <f t="shared" si="5"/>
        <v>0</v>
      </c>
      <c r="P18" s="920">
        <f t="shared" si="5"/>
        <v>0</v>
      </c>
      <c r="Q18" s="920">
        <f t="shared" si="5"/>
        <v>0</v>
      </c>
      <c r="R18" s="892">
        <f>R17</f>
        <v>2839.7266057835509</v>
      </c>
      <c r="T18" s="900"/>
    </row>
    <row r="19" spans="1:20" s="899" customFormat="1">
      <c r="A19" s="1249" t="s">
        <v>530</v>
      </c>
      <c r="B19" s="1250"/>
      <c r="C19" s="1250"/>
      <c r="D19" s="1250"/>
      <c r="E19" s="1250"/>
      <c r="F19" s="1250"/>
      <c r="G19" s="1250"/>
      <c r="H19" s="1250"/>
      <c r="I19" s="1250"/>
      <c r="J19" s="1250"/>
      <c r="K19" s="1250"/>
      <c r="L19" s="1250"/>
      <c r="M19" s="1250"/>
      <c r="N19" s="1250"/>
      <c r="O19" s="1250"/>
      <c r="P19" s="1250"/>
      <c r="Q19" s="1250"/>
      <c r="R19" s="1251"/>
      <c r="S19" s="921"/>
      <c r="T19" s="900"/>
    </row>
    <row r="20" spans="1:20" s="899" customFormat="1" ht="12.75" customHeight="1">
      <c r="A20" s="911">
        <v>9</v>
      </c>
      <c r="B20" s="918" t="s">
        <v>531</v>
      </c>
      <c r="C20" s="1252"/>
      <c r="D20" s="1253"/>
      <c r="E20" s="1253"/>
      <c r="F20" s="1253"/>
      <c r="G20" s="1253"/>
      <c r="H20" s="1253"/>
      <c r="I20" s="1253"/>
      <c r="J20" s="1253"/>
      <c r="K20" s="1253"/>
      <c r="L20" s="1253"/>
      <c r="M20" s="1253"/>
      <c r="N20" s="1253"/>
      <c r="O20" s="1253"/>
      <c r="P20" s="1253"/>
      <c r="Q20" s="1254"/>
      <c r="R20" s="892">
        <f t="shared" ref="R20:R21" si="6">SUM(C20:Q20)</f>
        <v>0</v>
      </c>
      <c r="S20" s="921"/>
      <c r="T20" s="900"/>
    </row>
    <row r="21" spans="1:20" s="899" customFormat="1" ht="12.75" customHeight="1">
      <c r="A21" s="911">
        <v>10</v>
      </c>
      <c r="B21" s="918" t="s">
        <v>532</v>
      </c>
      <c r="C21" s="1255"/>
      <c r="D21" s="1256"/>
      <c r="E21" s="1256"/>
      <c r="F21" s="1256"/>
      <c r="G21" s="1256"/>
      <c r="H21" s="1256"/>
      <c r="I21" s="1256"/>
      <c r="J21" s="1256"/>
      <c r="K21" s="1256"/>
      <c r="L21" s="1256"/>
      <c r="M21" s="1256"/>
      <c r="N21" s="1256"/>
      <c r="O21" s="1256"/>
      <c r="P21" s="1256"/>
      <c r="Q21" s="1257"/>
      <c r="R21" s="892">
        <f t="shared" si="6"/>
        <v>0</v>
      </c>
      <c r="T21" s="900"/>
    </row>
    <row r="22" spans="1:20" s="899" customFormat="1" ht="14.4" thickBot="1">
      <c r="A22" s="1240" t="s">
        <v>514</v>
      </c>
      <c r="B22" s="1241"/>
      <c r="C22" s="923">
        <f t="shared" ref="C22:Q22" si="7">+C13+C18</f>
        <v>2789.3395228800005</v>
      </c>
      <c r="D22" s="923">
        <f t="shared" si="7"/>
        <v>0</v>
      </c>
      <c r="E22" s="923">
        <f>+E13+E18</f>
        <v>0</v>
      </c>
      <c r="F22" s="923">
        <f t="shared" si="7"/>
        <v>263.51902974355005</v>
      </c>
      <c r="G22" s="923">
        <f t="shared" si="7"/>
        <v>0</v>
      </c>
      <c r="H22" s="923">
        <f t="shared" si="7"/>
        <v>1538.7059969800005</v>
      </c>
      <c r="I22" s="923">
        <f t="shared" si="7"/>
        <v>1062.4037679360003</v>
      </c>
      <c r="J22" s="923">
        <f t="shared" si="7"/>
        <v>0</v>
      </c>
      <c r="K22" s="923">
        <f t="shared" si="7"/>
        <v>6233.6779999431046</v>
      </c>
      <c r="L22" s="923">
        <f t="shared" si="7"/>
        <v>0</v>
      </c>
      <c r="M22" s="923">
        <f t="shared" si="7"/>
        <v>0</v>
      </c>
      <c r="N22" s="923">
        <f t="shared" si="7"/>
        <v>0</v>
      </c>
      <c r="O22" s="923">
        <f t="shared" si="7"/>
        <v>0</v>
      </c>
      <c r="P22" s="923">
        <f t="shared" si="7"/>
        <v>0</v>
      </c>
      <c r="Q22" s="923">
        <f t="shared" si="7"/>
        <v>0</v>
      </c>
      <c r="R22" s="892">
        <f>+R13+R18</f>
        <v>11862.744128606657</v>
      </c>
      <c r="S22" s="901">
        <f>SUM(S6:S20)</f>
        <v>13195.607312588834</v>
      </c>
      <c r="T22" s="900"/>
    </row>
    <row r="23" spans="1:20" ht="14.4" thickBot="1"/>
    <row r="24" spans="1:20">
      <c r="A24" s="1242" t="s">
        <v>533</v>
      </c>
      <c r="B24" s="1243"/>
      <c r="C24" s="776">
        <v>0.83150000000000002</v>
      </c>
      <c r="D24" s="769">
        <v>0.23100000000000001</v>
      </c>
      <c r="E24" s="769">
        <v>0.20095199999999999</v>
      </c>
      <c r="F24" s="769">
        <v>0.23636996735582155</v>
      </c>
      <c r="G24" s="769">
        <v>0.27572400000000002</v>
      </c>
      <c r="H24" s="769">
        <v>0.26088160627740598</v>
      </c>
      <c r="I24" s="769">
        <v>0.25553571428571437</v>
      </c>
      <c r="J24" s="770"/>
      <c r="K24" s="769">
        <v>0.33746399999999999</v>
      </c>
      <c r="L24" s="769"/>
      <c r="M24" s="769">
        <v>0</v>
      </c>
      <c r="N24" s="769">
        <v>0</v>
      </c>
      <c r="O24" s="769">
        <v>0</v>
      </c>
      <c r="P24" s="769">
        <v>0</v>
      </c>
      <c r="Q24" s="769">
        <v>0</v>
      </c>
      <c r="R24" s="775"/>
    </row>
    <row r="25" spans="1:20">
      <c r="R25" s="771"/>
      <c r="S25" s="772">
        <f>F18+H18+I18</f>
        <v>2864.6287946595507</v>
      </c>
    </row>
    <row r="26" spans="1:20" ht="28.8">
      <c r="B26" s="773" t="s">
        <v>534</v>
      </c>
      <c r="C26" s="754">
        <f>$R$22/$C$27</f>
        <v>2.4911264444785082</v>
      </c>
      <c r="D26" s="755" t="s">
        <v>535</v>
      </c>
      <c r="H26" s="774"/>
    </row>
    <row r="27" spans="1:20">
      <c r="B27" s="737" t="s">
        <v>516</v>
      </c>
      <c r="C27" s="889">
        <f>'Prezentacja wyników - MWh'!C22</f>
        <v>4762</v>
      </c>
      <c r="D27" s="760" t="s">
        <v>517</v>
      </c>
    </row>
  </sheetData>
  <mergeCells count="17">
    <mergeCell ref="A1:AB1"/>
    <mergeCell ref="A2:A4"/>
    <mergeCell ref="B2:B4"/>
    <mergeCell ref="C2:R2"/>
    <mergeCell ref="C3:C4"/>
    <mergeCell ref="D3:D4"/>
    <mergeCell ref="E3:L3"/>
    <mergeCell ref="M3:Q3"/>
    <mergeCell ref="R3:R4"/>
    <mergeCell ref="A22:B22"/>
    <mergeCell ref="A24:B24"/>
    <mergeCell ref="A5:R5"/>
    <mergeCell ref="A13:B13"/>
    <mergeCell ref="A14:R14"/>
    <mergeCell ref="A18:B18"/>
    <mergeCell ref="A19:R19"/>
    <mergeCell ref="C20:Q21"/>
  </mergeCells>
  <pageMargins left="0.7" right="0.7" top="0.75" bottom="0.75" header="0.3" footer="0.3"/>
  <pageSetup paperSize="9" scale="4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defaultRowHeight="13.8"/>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V68"/>
  <sheetViews>
    <sheetView view="pageBreakPreview" topLeftCell="A43" zoomScaleNormal="100" zoomScaleSheetLayoutView="100" workbookViewId="0">
      <selection activeCell="H14" sqref="H14"/>
    </sheetView>
  </sheetViews>
  <sheetFormatPr defaultColWidth="9" defaultRowHeight="10.199999999999999"/>
  <cols>
    <col min="1" max="1" width="11.59765625" style="378" customWidth="1"/>
    <col min="2" max="3" width="12.59765625" style="378" customWidth="1"/>
    <col min="4" max="4" width="12.69921875" style="378" customWidth="1"/>
    <col min="5" max="5" width="10" style="378" bestFit="1" customWidth="1"/>
    <col min="6" max="6" width="10.59765625" style="378" customWidth="1"/>
    <col min="7" max="7" width="12.19921875" style="378" customWidth="1"/>
    <col min="8" max="8" width="10" style="378" bestFit="1" customWidth="1"/>
    <col min="9" max="9" width="9.09765625" style="378" bestFit="1" customWidth="1"/>
    <col min="10" max="10" width="13.3984375" style="378" bestFit="1" customWidth="1"/>
    <col min="11" max="11" width="9.09765625" style="378" bestFit="1" customWidth="1"/>
    <col min="12" max="12" width="10" style="378" bestFit="1" customWidth="1"/>
    <col min="13" max="13" width="4.69921875" style="378" customWidth="1"/>
    <col min="14" max="14" width="16.59765625" style="378" customWidth="1"/>
    <col min="15" max="15" width="12.19921875" style="378" customWidth="1"/>
    <col min="16" max="16" width="3.09765625" style="378" hidden="1" customWidth="1"/>
    <col min="17" max="17" width="6.3984375" style="378" customWidth="1"/>
    <col min="18" max="16384" width="9" style="378"/>
  </cols>
  <sheetData>
    <row r="1" spans="1:22" ht="10.8" thickBot="1">
      <c r="A1" s="439" t="s">
        <v>247</v>
      </c>
      <c r="B1" s="439"/>
      <c r="C1" s="439"/>
      <c r="D1" s="439"/>
      <c r="E1" s="439"/>
      <c r="F1" s="439"/>
      <c r="G1" s="439"/>
      <c r="H1" s="439"/>
      <c r="I1" s="439"/>
      <c r="J1" s="439"/>
      <c r="K1" s="439"/>
      <c r="L1" s="439"/>
      <c r="N1" s="440" t="s">
        <v>248</v>
      </c>
      <c r="O1" s="440"/>
      <c r="P1" s="440"/>
      <c r="Q1" s="440"/>
      <c r="R1" s="440"/>
      <c r="S1" s="440"/>
      <c r="T1" s="440"/>
      <c r="U1" s="387">
        <v>0.83150000000000002</v>
      </c>
      <c r="V1" s="441" t="s">
        <v>249</v>
      </c>
    </row>
    <row r="2" spans="1:22" ht="12" customHeight="1" thickBot="1">
      <c r="A2" s="439"/>
      <c r="B2" s="439"/>
      <c r="C2" s="439"/>
      <c r="D2" s="439"/>
      <c r="E2" s="439"/>
      <c r="F2" s="439"/>
      <c r="G2" s="439"/>
      <c r="H2" s="439"/>
      <c r="I2" s="439"/>
      <c r="J2" s="985" t="s">
        <v>179</v>
      </c>
      <c r="K2" s="986"/>
      <c r="L2" s="987"/>
      <c r="N2" s="442"/>
      <c r="O2" s="442" t="s">
        <v>250</v>
      </c>
      <c r="P2" s="443" t="s">
        <v>251</v>
      </c>
      <c r="Q2" s="443" t="s">
        <v>252</v>
      </c>
      <c r="R2" s="442" t="s">
        <v>253</v>
      </c>
      <c r="S2" s="442" t="s">
        <v>253</v>
      </c>
      <c r="T2" s="442" t="s">
        <v>254</v>
      </c>
      <c r="U2" s="441" t="s">
        <v>254</v>
      </c>
      <c r="V2" s="395" t="s">
        <v>255</v>
      </c>
    </row>
    <row r="3" spans="1:22" ht="30.6">
      <c r="A3" s="379" t="s">
        <v>25</v>
      </c>
      <c r="B3" s="381" t="s">
        <v>268</v>
      </c>
      <c r="C3" s="380" t="s">
        <v>270</v>
      </c>
      <c r="E3" s="379" t="s">
        <v>178</v>
      </c>
      <c r="F3" s="381" t="s">
        <v>35</v>
      </c>
      <c r="G3" s="381" t="s">
        <v>195</v>
      </c>
      <c r="H3" s="380" t="s">
        <v>274</v>
      </c>
      <c r="J3" s="382" t="s">
        <v>49</v>
      </c>
      <c r="K3" s="383" t="s">
        <v>281</v>
      </c>
      <c r="L3" s="384">
        <v>6.5</v>
      </c>
      <c r="N3" s="441" t="s">
        <v>256</v>
      </c>
      <c r="O3" s="441">
        <f>Q3</f>
        <v>3.7499999999999999E-2</v>
      </c>
      <c r="P3" s="441">
        <v>15</v>
      </c>
      <c r="Q3" s="441">
        <f>P3*$V$3/1000000</f>
        <v>3.7499999999999999E-2</v>
      </c>
      <c r="R3" s="441">
        <v>20</v>
      </c>
      <c r="S3" s="441">
        <f>R3*$V$3/1000000</f>
        <v>0.05</v>
      </c>
      <c r="T3" s="441">
        <v>25</v>
      </c>
      <c r="U3" s="441">
        <f>T3*$V$3/1000000</f>
        <v>6.25E-2</v>
      </c>
      <c r="V3" s="395">
        <v>2500</v>
      </c>
    </row>
    <row r="4" spans="1:22">
      <c r="A4" s="385" t="s">
        <v>8</v>
      </c>
      <c r="B4" s="387">
        <v>22.61</v>
      </c>
      <c r="C4" s="569">
        <v>41</v>
      </c>
      <c r="D4" s="388"/>
      <c r="E4" s="389" t="s">
        <v>36</v>
      </c>
      <c r="F4" s="390">
        <v>0.2</v>
      </c>
      <c r="G4" s="391" t="s">
        <v>37</v>
      </c>
      <c r="H4" s="392">
        <v>290</v>
      </c>
      <c r="J4" s="382" t="s">
        <v>49</v>
      </c>
      <c r="K4" s="383" t="s">
        <v>280</v>
      </c>
      <c r="L4" s="393">
        <v>35</v>
      </c>
      <c r="N4" s="441" t="s">
        <v>172</v>
      </c>
      <c r="O4" s="441">
        <f t="shared" ref="O4:O7" si="0">Q4</f>
        <v>0.03</v>
      </c>
      <c r="P4" s="441">
        <v>15</v>
      </c>
      <c r="Q4" s="441">
        <f>P4*$V$4/1000000</f>
        <v>0.03</v>
      </c>
      <c r="R4" s="441">
        <v>20</v>
      </c>
      <c r="S4" s="441">
        <f>R4*$V$4/1000000</f>
        <v>0.04</v>
      </c>
      <c r="T4" s="441">
        <v>25</v>
      </c>
      <c r="U4" s="441">
        <f>T4*$V$4/1000000</f>
        <v>0.05</v>
      </c>
      <c r="V4" s="441">
        <v>2000</v>
      </c>
    </row>
    <row r="5" spans="1:22">
      <c r="A5" s="385" t="s">
        <v>26</v>
      </c>
      <c r="B5" s="387">
        <v>3.95E-2</v>
      </c>
      <c r="C5" s="569">
        <v>70</v>
      </c>
      <c r="D5" s="388">
        <f>0.74*48/1000</f>
        <v>3.5519999999999996E-2</v>
      </c>
      <c r="E5" s="389" t="s">
        <v>38</v>
      </c>
      <c r="F5" s="390">
        <v>0.22</v>
      </c>
      <c r="G5" s="391" t="s">
        <v>39</v>
      </c>
      <c r="H5" s="392">
        <v>250</v>
      </c>
      <c r="J5" s="382" t="s">
        <v>50</v>
      </c>
      <c r="K5" s="383" t="s">
        <v>51</v>
      </c>
      <c r="L5" s="394">
        <v>0</v>
      </c>
      <c r="N5" s="441" t="s">
        <v>257</v>
      </c>
      <c r="O5" s="441">
        <f t="shared" si="0"/>
        <v>7.4999999999999997E-2</v>
      </c>
      <c r="P5" s="441">
        <v>15</v>
      </c>
      <c r="Q5" s="441">
        <f>P5*$V$5/1000000</f>
        <v>7.4999999999999997E-2</v>
      </c>
      <c r="R5" s="441">
        <v>25</v>
      </c>
      <c r="S5" s="441">
        <f>R5*$V$5/1000000</f>
        <v>0.125</v>
      </c>
      <c r="T5" s="441">
        <v>35</v>
      </c>
      <c r="U5" s="441">
        <f>3.6*T5*$V$5/1000000</f>
        <v>0.63</v>
      </c>
      <c r="V5" s="395">
        <v>5000</v>
      </c>
    </row>
    <row r="6" spans="1:22">
      <c r="A6" s="385" t="s">
        <v>79</v>
      </c>
      <c r="B6" s="387">
        <v>15</v>
      </c>
      <c r="C6" s="569">
        <v>38</v>
      </c>
      <c r="D6" s="388"/>
      <c r="E6" s="389" t="s">
        <v>40</v>
      </c>
      <c r="F6" s="390">
        <v>0.1</v>
      </c>
      <c r="G6" s="391" t="s">
        <v>41</v>
      </c>
      <c r="H6" s="392">
        <v>175</v>
      </c>
      <c r="J6" s="382" t="s">
        <v>52</v>
      </c>
      <c r="K6" s="395">
        <v>4.1900000000000004</v>
      </c>
      <c r="L6" s="393">
        <v>4.1900000000000004</v>
      </c>
      <c r="N6" s="441" t="s">
        <v>176</v>
      </c>
      <c r="O6" s="441">
        <f t="shared" si="0"/>
        <v>0.02</v>
      </c>
      <c r="P6" s="441">
        <v>10</v>
      </c>
      <c r="Q6" s="441">
        <f>P6*$V$6/1000000</f>
        <v>0.02</v>
      </c>
      <c r="R6" s="441">
        <v>20</v>
      </c>
      <c r="S6" s="441">
        <f>R6*$V$6/1000000</f>
        <v>0.04</v>
      </c>
      <c r="T6" s="441">
        <v>30</v>
      </c>
      <c r="U6" s="441">
        <f>T6*$V$6/1000000</f>
        <v>0.06</v>
      </c>
      <c r="V6" s="395">
        <v>2000</v>
      </c>
    </row>
    <row r="7" spans="1:22">
      <c r="A7" s="385" t="s">
        <v>27</v>
      </c>
      <c r="B7" s="387">
        <v>18</v>
      </c>
      <c r="C7" s="569">
        <v>54</v>
      </c>
      <c r="D7" s="388"/>
      <c r="E7" s="389" t="s">
        <v>42</v>
      </c>
      <c r="F7" s="390">
        <v>0.06</v>
      </c>
      <c r="G7" s="391" t="s">
        <v>43</v>
      </c>
      <c r="H7" s="392">
        <v>130</v>
      </c>
      <c r="J7" s="382" t="s">
        <v>53</v>
      </c>
      <c r="K7" s="383" t="s">
        <v>54</v>
      </c>
      <c r="L7" s="393">
        <v>365</v>
      </c>
      <c r="N7" s="441" t="s">
        <v>175</v>
      </c>
      <c r="O7" s="441">
        <f t="shared" si="0"/>
        <v>3.7499999999999999E-2</v>
      </c>
      <c r="P7" s="441">
        <v>15</v>
      </c>
      <c r="Q7" s="441">
        <f>P7*$V$7/1000000</f>
        <v>3.7499999999999999E-2</v>
      </c>
      <c r="R7" s="441">
        <v>25</v>
      </c>
      <c r="S7" s="441">
        <f>R7*$V$7/1000000</f>
        <v>6.25E-2</v>
      </c>
      <c r="T7" s="441">
        <v>35</v>
      </c>
      <c r="U7" s="441">
        <f>T7*$V$7/1000000</f>
        <v>8.7499999999999994E-2</v>
      </c>
      <c r="V7" s="395">
        <v>2500</v>
      </c>
    </row>
    <row r="8" spans="1:22" ht="13.5" customHeight="1">
      <c r="A8" s="385" t="s">
        <v>7</v>
      </c>
      <c r="B8" s="387">
        <f>40.4*0.84</f>
        <v>33.936</v>
      </c>
      <c r="C8" s="569">
        <v>90</v>
      </c>
      <c r="D8" s="388"/>
      <c r="E8" s="389" t="s">
        <v>44</v>
      </c>
      <c r="F8" s="390">
        <v>0.42</v>
      </c>
      <c r="G8" s="391" t="s">
        <v>45</v>
      </c>
      <c r="H8" s="392">
        <v>115</v>
      </c>
      <c r="J8" s="382" t="s">
        <v>55</v>
      </c>
      <c r="K8" s="383" t="s">
        <v>56</v>
      </c>
      <c r="L8" s="393">
        <v>1</v>
      </c>
      <c r="N8" s="396" t="s">
        <v>89</v>
      </c>
      <c r="P8" s="397" t="s">
        <v>48</v>
      </c>
    </row>
    <row r="9" spans="1:22" ht="10.8" thickBot="1">
      <c r="A9" s="385" t="s">
        <v>28</v>
      </c>
      <c r="B9" s="387" t="s">
        <v>95</v>
      </c>
      <c r="C9" s="569" t="s">
        <v>95</v>
      </c>
      <c r="E9" s="398">
        <v>0</v>
      </c>
      <c r="F9" s="399">
        <v>0</v>
      </c>
      <c r="G9" s="400">
        <v>0</v>
      </c>
      <c r="H9" s="401">
        <v>90</v>
      </c>
      <c r="J9" s="382" t="s">
        <v>57</v>
      </c>
      <c r="K9" s="383" t="s">
        <v>58</v>
      </c>
      <c r="L9" s="393">
        <v>1000</v>
      </c>
      <c r="N9" s="378" t="s">
        <v>93</v>
      </c>
      <c r="P9" s="402">
        <f>1-B15</f>
        <v>0.6</v>
      </c>
    </row>
    <row r="10" spans="1:22" ht="10.8" thickBot="1">
      <c r="A10" s="403" t="s">
        <v>313</v>
      </c>
      <c r="B10" s="570" t="s">
        <v>95</v>
      </c>
      <c r="C10" s="571">
        <v>138</v>
      </c>
      <c r="J10" s="382" t="s">
        <v>59</v>
      </c>
      <c r="K10" s="383" t="s">
        <v>60</v>
      </c>
      <c r="L10" s="393">
        <f>55-10</f>
        <v>45</v>
      </c>
      <c r="N10" s="378" t="s">
        <v>94</v>
      </c>
      <c r="P10" s="402">
        <f>1-B16</f>
        <v>0.8</v>
      </c>
    </row>
    <row r="11" spans="1:22">
      <c r="A11" s="378" t="s">
        <v>411</v>
      </c>
      <c r="D11" s="405"/>
      <c r="J11" s="988" t="s">
        <v>61</v>
      </c>
      <c r="K11" s="989"/>
      <c r="L11" s="393">
        <v>0.9</v>
      </c>
      <c r="N11" s="378" t="s">
        <v>103</v>
      </c>
      <c r="P11" s="402">
        <f>1-B17</f>
        <v>1</v>
      </c>
    </row>
    <row r="12" spans="1:22">
      <c r="A12" s="378" t="s">
        <v>269</v>
      </c>
      <c r="J12" s="408" t="s">
        <v>62</v>
      </c>
      <c r="K12" s="409" t="s">
        <v>63</v>
      </c>
      <c r="L12" s="410">
        <f>L4*L6*L9*L10*L8*L7/(1000*3600)</f>
        <v>669.09062500000005</v>
      </c>
      <c r="N12" s="378" t="s">
        <v>3</v>
      </c>
    </row>
    <row r="13" spans="1:22" ht="10.8" thickBot="1">
      <c r="J13" s="408" t="s">
        <v>64</v>
      </c>
      <c r="K13" s="395"/>
      <c r="L13" s="410">
        <f>L12/1000</f>
        <v>0.66909062500000005</v>
      </c>
      <c r="N13" s="378" t="s">
        <v>90</v>
      </c>
      <c r="O13" s="413" t="s">
        <v>86</v>
      </c>
    </row>
    <row r="14" spans="1:22" ht="20.399999999999999">
      <c r="A14" s="379" t="s">
        <v>196</v>
      </c>
      <c r="B14" s="406" t="s">
        <v>182</v>
      </c>
      <c r="C14" s="407" t="s">
        <v>261</v>
      </c>
      <c r="J14" s="408" t="s">
        <v>65</v>
      </c>
      <c r="K14" s="383"/>
      <c r="L14" s="410">
        <f>L13*3.6</f>
        <v>2.4087262500000004</v>
      </c>
      <c r="N14" s="378" t="s">
        <v>91</v>
      </c>
      <c r="O14" s="414" t="s">
        <v>87</v>
      </c>
    </row>
    <row r="15" spans="1:22" ht="10.8" thickBot="1">
      <c r="A15" s="385" t="s">
        <v>32</v>
      </c>
      <c r="B15" s="411">
        <v>0.4</v>
      </c>
      <c r="C15" s="412">
        <f>1-B15</f>
        <v>0.6</v>
      </c>
      <c r="J15" s="417" t="s">
        <v>65</v>
      </c>
      <c r="K15" s="418" t="s">
        <v>322</v>
      </c>
      <c r="L15" s="419">
        <f>L14*L11</f>
        <v>2.1678536250000002</v>
      </c>
      <c r="N15" s="378" t="s">
        <v>104</v>
      </c>
      <c r="O15" s="414" t="s">
        <v>88</v>
      </c>
    </row>
    <row r="16" spans="1:22" ht="10.8" thickBot="1">
      <c r="A16" s="385" t="s">
        <v>33</v>
      </c>
      <c r="B16" s="411">
        <v>0.2</v>
      </c>
      <c r="C16" s="412">
        <f>1-B16</f>
        <v>0.8</v>
      </c>
      <c r="E16" s="420"/>
      <c r="K16" s="418" t="s">
        <v>323</v>
      </c>
      <c r="L16" s="419">
        <f>L15*L3/L4</f>
        <v>0.40260138750000002</v>
      </c>
      <c r="N16" s="378" t="s">
        <v>92</v>
      </c>
      <c r="O16" s="421"/>
    </row>
    <row r="17" spans="1:21" ht="14.25" customHeight="1" thickBot="1">
      <c r="A17" s="403" t="s">
        <v>31</v>
      </c>
      <c r="B17" s="415">
        <v>0</v>
      </c>
      <c r="C17" s="416">
        <f>1-B17</f>
        <v>1</v>
      </c>
      <c r="N17" s="378" t="s">
        <v>386</v>
      </c>
    </row>
    <row r="18" spans="1:21" ht="10.8" thickBot="1">
      <c r="A18" s="979" t="s">
        <v>325</v>
      </c>
      <c r="B18" s="982" t="s">
        <v>344</v>
      </c>
      <c r="C18" s="983"/>
      <c r="D18" s="983"/>
      <c r="E18" s="983"/>
      <c r="F18" s="983"/>
      <c r="G18" s="983"/>
      <c r="H18" s="984"/>
      <c r="N18" s="378" t="s">
        <v>94</v>
      </c>
    </row>
    <row r="19" spans="1:21">
      <c r="A19" s="980"/>
      <c r="B19" s="979" t="s">
        <v>327</v>
      </c>
      <c r="C19" s="969" t="s">
        <v>328</v>
      </c>
      <c r="D19" s="970"/>
      <c r="E19" s="966" t="s">
        <v>329</v>
      </c>
      <c r="F19" s="966" t="s">
        <v>76</v>
      </c>
      <c r="G19" s="969" t="s">
        <v>330</v>
      </c>
      <c r="H19" s="970"/>
      <c r="N19" s="421" t="s">
        <v>314</v>
      </c>
    </row>
    <row r="20" spans="1:21" ht="10.8" thickBot="1">
      <c r="A20" s="980"/>
      <c r="B20" s="980"/>
      <c r="C20" s="973" t="s">
        <v>331</v>
      </c>
      <c r="D20" s="974"/>
      <c r="E20" s="967"/>
      <c r="F20" s="967"/>
      <c r="G20" s="971"/>
      <c r="H20" s="972"/>
      <c r="N20" s="421" t="s">
        <v>3</v>
      </c>
    </row>
    <row r="21" spans="1:21" ht="31.2" thickBot="1">
      <c r="A21" s="981"/>
      <c r="B21" s="981"/>
      <c r="C21" s="446" t="s">
        <v>332</v>
      </c>
      <c r="D21" s="446" t="s">
        <v>333</v>
      </c>
      <c r="E21" s="968"/>
      <c r="F21" s="968"/>
      <c r="G21" s="446" t="s">
        <v>332</v>
      </c>
      <c r="H21" s="446" t="s">
        <v>333</v>
      </c>
      <c r="N21" s="421" t="s">
        <v>382</v>
      </c>
    </row>
    <row r="22" spans="1:21" ht="11.25" customHeight="1" thickBot="1">
      <c r="A22" s="447" t="s">
        <v>334</v>
      </c>
      <c r="B22" s="446" t="s">
        <v>335</v>
      </c>
      <c r="C22" s="446">
        <v>225</v>
      </c>
      <c r="D22" s="446">
        <v>78</v>
      </c>
      <c r="E22" s="446">
        <v>0.5</v>
      </c>
      <c r="F22" s="446">
        <v>3</v>
      </c>
      <c r="G22" s="446">
        <v>480</v>
      </c>
      <c r="H22" s="446">
        <v>34</v>
      </c>
      <c r="M22" s="421"/>
      <c r="N22" s="421" t="s">
        <v>91</v>
      </c>
    </row>
    <row r="23" spans="1:21" ht="10.8" thickBot="1">
      <c r="A23" s="447" t="s">
        <v>336</v>
      </c>
      <c r="B23" s="446" t="s">
        <v>335</v>
      </c>
      <c r="C23" s="446">
        <v>201</v>
      </c>
      <c r="D23" s="446">
        <v>70</v>
      </c>
      <c r="E23" s="446">
        <v>0.5</v>
      </c>
      <c r="F23" s="446">
        <v>3</v>
      </c>
      <c r="G23" s="446">
        <v>470</v>
      </c>
      <c r="H23" s="446">
        <v>33</v>
      </c>
      <c r="M23" s="421"/>
      <c r="N23" s="421" t="s">
        <v>2</v>
      </c>
      <c r="O23" s="421"/>
      <c r="U23" s="396" t="s">
        <v>368</v>
      </c>
    </row>
    <row r="24" spans="1:21" ht="12" thickBot="1">
      <c r="A24" s="447" t="s">
        <v>337</v>
      </c>
      <c r="B24" s="446" t="s">
        <v>338</v>
      </c>
      <c r="C24" s="446">
        <v>93.74</v>
      </c>
      <c r="D24" s="446">
        <v>93.74</v>
      </c>
      <c r="E24" s="446">
        <v>55.82</v>
      </c>
      <c r="F24" s="446">
        <v>76.59</v>
      </c>
      <c r="G24" s="446">
        <v>0</v>
      </c>
      <c r="H24" s="446">
        <v>0</v>
      </c>
      <c r="M24" s="421"/>
      <c r="N24" s="421" t="s">
        <v>262</v>
      </c>
      <c r="O24" s="431" t="s">
        <v>258</v>
      </c>
      <c r="P24" s="396"/>
      <c r="Q24" s="396" t="s">
        <v>260</v>
      </c>
      <c r="R24" s="396"/>
      <c r="S24" s="396" t="s">
        <v>163</v>
      </c>
      <c r="U24" s="378" t="s">
        <v>294</v>
      </c>
    </row>
    <row r="25" spans="1:21" ht="10.8" thickBot="1">
      <c r="A25" s="447" t="s">
        <v>339</v>
      </c>
      <c r="B25" s="446" t="s">
        <v>340</v>
      </c>
      <c r="C25" s="446">
        <v>270</v>
      </c>
      <c r="D25" s="446">
        <v>7.9000000000000001E-2</v>
      </c>
      <c r="E25" s="446" t="s">
        <v>341</v>
      </c>
      <c r="F25" s="446">
        <v>10</v>
      </c>
      <c r="G25" s="446">
        <v>121</v>
      </c>
      <c r="H25" s="446">
        <v>10</v>
      </c>
      <c r="M25" s="421"/>
      <c r="N25" s="421" t="s">
        <v>93</v>
      </c>
      <c r="O25" s="378" t="s">
        <v>87</v>
      </c>
      <c r="P25" s="378" t="s">
        <v>87</v>
      </c>
      <c r="Q25" s="378" t="s">
        <v>87</v>
      </c>
      <c r="S25" s="378" t="s">
        <v>173</v>
      </c>
      <c r="U25" s="378" t="s">
        <v>364</v>
      </c>
    </row>
    <row r="26" spans="1:21" ht="12" thickBot="1">
      <c r="A26" s="447" t="s">
        <v>342</v>
      </c>
      <c r="B26" s="446" t="s">
        <v>335</v>
      </c>
      <c r="C26" s="446">
        <v>900</v>
      </c>
      <c r="D26" s="446">
        <v>450</v>
      </c>
      <c r="E26" s="446">
        <v>0.5</v>
      </c>
      <c r="F26" s="446">
        <v>140</v>
      </c>
      <c r="G26" s="446">
        <v>11</v>
      </c>
      <c r="H26" s="446">
        <v>11</v>
      </c>
      <c r="N26" s="432" t="s">
        <v>20</v>
      </c>
      <c r="O26" s="378" t="s">
        <v>88</v>
      </c>
      <c r="P26" s="378" t="s">
        <v>88</v>
      </c>
      <c r="Q26" s="378" t="s">
        <v>88</v>
      </c>
      <c r="S26" s="378" t="s">
        <v>174</v>
      </c>
      <c r="U26" s="378" t="s">
        <v>365</v>
      </c>
    </row>
    <row r="27" spans="1:21" ht="12" thickBot="1">
      <c r="A27" s="447" t="s">
        <v>343</v>
      </c>
      <c r="B27" s="446" t="s">
        <v>335</v>
      </c>
      <c r="C27" s="446">
        <v>158</v>
      </c>
      <c r="D27" s="446">
        <v>165</v>
      </c>
      <c r="E27" s="446">
        <v>50</v>
      </c>
      <c r="F27" s="446">
        <v>70</v>
      </c>
      <c r="G27" s="446">
        <v>80</v>
      </c>
      <c r="H27" s="446">
        <v>91</v>
      </c>
      <c r="N27" s="437" t="s">
        <v>21</v>
      </c>
      <c r="O27" s="378" t="s">
        <v>259</v>
      </c>
      <c r="P27" s="378" t="s">
        <v>259</v>
      </c>
      <c r="Q27" s="378" t="s">
        <v>259</v>
      </c>
      <c r="S27" s="378" t="s">
        <v>296</v>
      </c>
      <c r="U27" s="378" t="s">
        <v>295</v>
      </c>
    </row>
    <row r="28" spans="1:21" ht="10.8" thickBot="1">
      <c r="A28" s="448"/>
      <c r="B28" s="448"/>
      <c r="C28" s="448"/>
      <c r="D28" s="448"/>
      <c r="E28" s="448"/>
      <c r="F28" s="448"/>
      <c r="G28" s="448"/>
      <c r="H28" s="448"/>
      <c r="N28" s="437" t="s">
        <v>22</v>
      </c>
      <c r="O28" s="378" t="s">
        <v>360</v>
      </c>
      <c r="Q28" s="378" t="s">
        <v>360</v>
      </c>
      <c r="S28" s="378" t="s">
        <v>360</v>
      </c>
      <c r="U28" s="378" t="s">
        <v>366</v>
      </c>
    </row>
    <row r="29" spans="1:21" ht="11.25" customHeight="1" thickBot="1">
      <c r="A29" s="979" t="s">
        <v>325</v>
      </c>
      <c r="B29" s="982" t="s">
        <v>326</v>
      </c>
      <c r="C29" s="983"/>
      <c r="D29" s="983"/>
      <c r="E29" s="983"/>
      <c r="F29" s="983"/>
      <c r="G29" s="983"/>
      <c r="H29" s="984"/>
      <c r="N29" s="437" t="s">
        <v>23</v>
      </c>
      <c r="S29" s="378" t="s">
        <v>361</v>
      </c>
      <c r="U29" s="378" t="s">
        <v>367</v>
      </c>
    </row>
    <row r="30" spans="1:21">
      <c r="A30" s="980"/>
      <c r="B30" s="979" t="s">
        <v>327</v>
      </c>
      <c r="C30" s="969" t="s">
        <v>328</v>
      </c>
      <c r="D30" s="970"/>
      <c r="E30" s="966" t="s">
        <v>329</v>
      </c>
      <c r="F30" s="966" t="s">
        <v>76</v>
      </c>
      <c r="G30" s="969" t="s">
        <v>330</v>
      </c>
      <c r="H30" s="970"/>
      <c r="S30" s="378" t="s">
        <v>362</v>
      </c>
      <c r="U30" s="378" t="s">
        <v>369</v>
      </c>
    </row>
    <row r="31" spans="1:21" ht="15.75" customHeight="1" thickBot="1">
      <c r="A31" s="980"/>
      <c r="B31" s="980"/>
      <c r="C31" s="973" t="s">
        <v>331</v>
      </c>
      <c r="D31" s="974"/>
      <c r="E31" s="967"/>
      <c r="F31" s="967"/>
      <c r="G31" s="971"/>
      <c r="H31" s="972"/>
      <c r="M31" s="378" t="s">
        <v>109</v>
      </c>
      <c r="U31" s="378" t="s">
        <v>370</v>
      </c>
    </row>
    <row r="32" spans="1:21" ht="21" customHeight="1" thickBot="1">
      <c r="A32" s="981"/>
      <c r="B32" s="981"/>
      <c r="C32" s="446" t="s">
        <v>332</v>
      </c>
      <c r="D32" s="446" t="s">
        <v>333</v>
      </c>
      <c r="E32" s="968"/>
      <c r="F32" s="968"/>
      <c r="G32" s="446" t="s">
        <v>332</v>
      </c>
      <c r="H32" s="446" t="s">
        <v>333</v>
      </c>
      <c r="M32" s="378" t="s">
        <v>88</v>
      </c>
      <c r="U32" s="378" t="s">
        <v>371</v>
      </c>
    </row>
    <row r="33" spans="1:22" ht="10.8" thickBot="1">
      <c r="A33" s="447" t="s">
        <v>334</v>
      </c>
      <c r="B33" s="446" t="s">
        <v>335</v>
      </c>
      <c r="C33" s="446">
        <v>190</v>
      </c>
      <c r="D33" s="446">
        <v>78</v>
      </c>
      <c r="E33" s="446">
        <v>0.5</v>
      </c>
      <c r="F33" s="446">
        <v>3</v>
      </c>
      <c r="G33" s="446">
        <v>76</v>
      </c>
      <c r="H33" s="446">
        <v>34</v>
      </c>
    </row>
    <row r="34" spans="1:22" ht="10.8" thickBot="1">
      <c r="A34" s="447" t="s">
        <v>336</v>
      </c>
      <c r="B34" s="446" t="s">
        <v>335</v>
      </c>
      <c r="C34" s="446">
        <v>170</v>
      </c>
      <c r="D34" s="446">
        <v>70</v>
      </c>
      <c r="E34" s="446">
        <v>0.5</v>
      </c>
      <c r="F34" s="446">
        <v>3</v>
      </c>
      <c r="G34" s="446">
        <v>76</v>
      </c>
      <c r="H34" s="446">
        <v>33</v>
      </c>
    </row>
    <row r="35" spans="1:22" ht="12" thickBot="1">
      <c r="A35" s="447" t="s">
        <v>337</v>
      </c>
      <c r="B35" s="446" t="s">
        <v>338</v>
      </c>
      <c r="C35" s="446">
        <v>93.74</v>
      </c>
      <c r="D35" s="446">
        <v>93.74</v>
      </c>
      <c r="E35" s="446">
        <v>55.82</v>
      </c>
      <c r="F35" s="446">
        <v>76.59</v>
      </c>
      <c r="G35" s="446">
        <v>0</v>
      </c>
      <c r="H35" s="446">
        <v>0</v>
      </c>
    </row>
    <row r="36" spans="1:22" ht="10.8" thickBot="1">
      <c r="A36" s="447" t="s">
        <v>339</v>
      </c>
      <c r="B36" s="446" t="s">
        <v>340</v>
      </c>
      <c r="C36" s="446">
        <v>100</v>
      </c>
      <c r="D36" s="446">
        <v>7.9000000000000001E-2</v>
      </c>
      <c r="E36" s="446" t="s">
        <v>341</v>
      </c>
      <c r="F36" s="446">
        <v>10</v>
      </c>
      <c r="G36" s="446">
        <v>50</v>
      </c>
      <c r="H36" s="446">
        <v>10</v>
      </c>
    </row>
    <row r="37" spans="1:22" ht="12" thickBot="1">
      <c r="A37" s="447" t="s">
        <v>342</v>
      </c>
      <c r="B37" s="446" t="s">
        <v>335</v>
      </c>
      <c r="C37" s="446">
        <v>900</v>
      </c>
      <c r="D37" s="446">
        <v>450</v>
      </c>
      <c r="E37" s="446">
        <v>0.5</v>
      </c>
      <c r="F37" s="446">
        <v>140</v>
      </c>
      <c r="G37" s="446">
        <v>20</v>
      </c>
      <c r="H37" s="446">
        <v>11</v>
      </c>
    </row>
    <row r="38" spans="1:22" ht="12" thickBot="1">
      <c r="A38" s="447" t="s">
        <v>343</v>
      </c>
      <c r="B38" s="446" t="s">
        <v>335</v>
      </c>
      <c r="C38" s="446">
        <v>160</v>
      </c>
      <c r="D38" s="446">
        <v>165</v>
      </c>
      <c r="E38" s="446">
        <v>70</v>
      </c>
      <c r="F38" s="446">
        <v>70</v>
      </c>
      <c r="G38" s="446">
        <v>150</v>
      </c>
      <c r="H38" s="446">
        <v>91</v>
      </c>
      <c r="N38" s="378" t="s">
        <v>418</v>
      </c>
    </row>
    <row r="39" spans="1:22">
      <c r="N39" s="607">
        <v>932.03</v>
      </c>
      <c r="O39" s="378" t="s">
        <v>419</v>
      </c>
      <c r="Q39" s="378" t="s">
        <v>422</v>
      </c>
    </row>
    <row r="40" spans="1:22" ht="13.8">
      <c r="A40" s="599" t="s">
        <v>410</v>
      </c>
      <c r="N40" s="378" t="s">
        <v>420</v>
      </c>
      <c r="U40" s="606">
        <v>0.5</v>
      </c>
      <c r="V40" s="378" t="s">
        <v>423</v>
      </c>
    </row>
    <row r="41" spans="1:22">
      <c r="A41" s="990" t="s">
        <v>557</v>
      </c>
      <c r="B41" s="990"/>
      <c r="C41" s="990"/>
      <c r="D41" s="990"/>
      <c r="E41" s="990"/>
      <c r="F41" s="990"/>
      <c r="G41" s="990"/>
      <c r="H41" s="990"/>
      <c r="I41" s="990"/>
      <c r="J41" s="990"/>
      <c r="K41" s="405"/>
      <c r="N41" s="378" t="s">
        <v>421</v>
      </c>
      <c r="U41" s="606">
        <v>0.18</v>
      </c>
      <c r="V41" s="378" t="s">
        <v>424</v>
      </c>
    </row>
    <row r="42" spans="1:22">
      <c r="A42" s="395" t="s">
        <v>73</v>
      </c>
      <c r="B42" s="395"/>
      <c r="C42" s="395" t="s">
        <v>8</v>
      </c>
      <c r="D42" s="395" t="s">
        <v>26</v>
      </c>
      <c r="E42" s="395" t="s">
        <v>79</v>
      </c>
      <c r="F42" s="602" t="s">
        <v>27</v>
      </c>
      <c r="G42" s="602" t="s">
        <v>76</v>
      </c>
      <c r="H42" s="395" t="s">
        <v>74</v>
      </c>
      <c r="I42" s="603" t="s">
        <v>180</v>
      </c>
      <c r="J42" s="603" t="s">
        <v>181</v>
      </c>
    </row>
    <row r="43" spans="1:22">
      <c r="A43" s="395" t="s">
        <v>75</v>
      </c>
      <c r="B43" s="395" t="s">
        <v>263</v>
      </c>
      <c r="C43" s="429"/>
      <c r="D43" s="429"/>
      <c r="E43" s="429"/>
      <c r="F43" s="429"/>
      <c r="G43" s="429"/>
      <c r="H43" s="429"/>
      <c r="I43" s="429">
        <v>0</v>
      </c>
      <c r="J43" s="395"/>
    </row>
    <row r="44" spans="1:22">
      <c r="A44" s="395" t="s">
        <v>66</v>
      </c>
      <c r="B44" s="395" t="s">
        <v>263</v>
      </c>
      <c r="C44" s="600">
        <f>225/1000000</f>
        <v>2.2499999999999999E-4</v>
      </c>
      <c r="D44" s="600">
        <f>0.5/1000000</f>
        <v>4.9999999999999998E-7</v>
      </c>
      <c r="E44" s="600">
        <f>480/1000000</f>
        <v>4.8000000000000001E-4</v>
      </c>
      <c r="F44" s="600">
        <f>480/1000000</f>
        <v>4.8000000000000001E-4</v>
      </c>
      <c r="G44" s="600">
        <f>3/1000000</f>
        <v>3.0000000000000001E-6</v>
      </c>
      <c r="H44" s="429">
        <v>0</v>
      </c>
      <c r="I44" s="429">
        <v>0</v>
      </c>
      <c r="J44" s="395"/>
    </row>
    <row r="45" spans="1:22">
      <c r="A45" s="395" t="s">
        <v>67</v>
      </c>
      <c r="B45" s="395" t="s">
        <v>263</v>
      </c>
      <c r="C45" s="600">
        <f>201/1000000</f>
        <v>2.0100000000000001E-4</v>
      </c>
      <c r="D45" s="600">
        <f>0.5/1000000</f>
        <v>4.9999999999999998E-7</v>
      </c>
      <c r="E45" s="600">
        <f>470/1000000</f>
        <v>4.6999999999999999E-4</v>
      </c>
      <c r="F45" s="600">
        <f>470/1000000</f>
        <v>4.6999999999999999E-4</v>
      </c>
      <c r="G45" s="600">
        <f>3/1000000</f>
        <v>3.0000000000000001E-6</v>
      </c>
      <c r="H45" s="429">
        <v>0</v>
      </c>
      <c r="I45" s="429">
        <v>0</v>
      </c>
      <c r="J45" s="395"/>
    </row>
    <row r="46" spans="1:22">
      <c r="A46" s="395" t="s">
        <v>68</v>
      </c>
      <c r="B46" s="395" t="s">
        <v>263</v>
      </c>
      <c r="C46" s="600">
        <f>93.74/1000</f>
        <v>9.373999999999999E-2</v>
      </c>
      <c r="D46" s="600">
        <f>0.236369967355822/3.6</f>
        <v>6.5658324265506107E-2</v>
      </c>
      <c r="E46" s="600">
        <v>0</v>
      </c>
      <c r="F46" s="600">
        <v>0</v>
      </c>
      <c r="G46" s="600">
        <f>76.59/1000</f>
        <v>7.6590000000000005E-2</v>
      </c>
      <c r="H46" s="429">
        <f>93.97/1000</f>
        <v>9.3969999999999998E-2</v>
      </c>
      <c r="I46" s="429">
        <f>J46*1000/3.6</f>
        <v>230.97222222222223</v>
      </c>
      <c r="J46" s="429">
        <v>0.83150000000000002</v>
      </c>
    </row>
    <row r="47" spans="1:22">
      <c r="A47" s="395" t="s">
        <v>69</v>
      </c>
      <c r="B47" s="395" t="s">
        <v>263</v>
      </c>
      <c r="C47" s="600">
        <f>270/1000000000</f>
        <v>2.7000000000000001E-7</v>
      </c>
      <c r="D47" s="600">
        <v>0</v>
      </c>
      <c r="E47" s="600">
        <f>121/1000000000</f>
        <v>1.2100000000000001E-7</v>
      </c>
      <c r="F47" s="600">
        <f>121/1000000000</f>
        <v>1.2100000000000001E-7</v>
      </c>
      <c r="G47" s="600">
        <f>10/1000000000</f>
        <v>1E-8</v>
      </c>
      <c r="H47" s="429">
        <v>0</v>
      </c>
      <c r="I47" s="429">
        <v>0</v>
      </c>
      <c r="J47" s="395"/>
    </row>
    <row r="48" spans="1:22">
      <c r="A48" s="395" t="s">
        <v>70</v>
      </c>
      <c r="B48" s="395" t="s">
        <v>263</v>
      </c>
      <c r="C48" s="600">
        <f>900/1000000</f>
        <v>8.9999999999999998E-4</v>
      </c>
      <c r="D48" s="600">
        <f>0.5/1000000</f>
        <v>4.9999999999999998E-7</v>
      </c>
      <c r="E48" s="600">
        <f>11/1000000</f>
        <v>1.1E-5</v>
      </c>
      <c r="F48" s="600">
        <f>11/1000000</f>
        <v>1.1E-5</v>
      </c>
      <c r="G48" s="600">
        <f>140/1000000</f>
        <v>1.3999999999999999E-4</v>
      </c>
      <c r="H48" s="429">
        <v>0</v>
      </c>
      <c r="I48" s="429">
        <v>0</v>
      </c>
      <c r="J48" s="395"/>
    </row>
    <row r="49" spans="1:10">
      <c r="A49" s="395" t="s">
        <v>71</v>
      </c>
      <c r="B49" s="395" t="s">
        <v>263</v>
      </c>
      <c r="C49" s="600">
        <f>158/1000000</f>
        <v>1.5799999999999999E-4</v>
      </c>
      <c r="D49" s="600">
        <f>50/1000000</f>
        <v>5.0000000000000002E-5</v>
      </c>
      <c r="E49" s="600">
        <f>80/1000000</f>
        <v>8.0000000000000007E-5</v>
      </c>
      <c r="F49" s="600">
        <f>80/1000000</f>
        <v>8.0000000000000007E-5</v>
      </c>
      <c r="G49" s="600">
        <f>70/1000000</f>
        <v>6.9999999999999994E-5</v>
      </c>
      <c r="H49" s="429">
        <v>0</v>
      </c>
      <c r="I49" s="429">
        <v>0</v>
      </c>
      <c r="J49" s="395"/>
    </row>
    <row r="50" spans="1:10" ht="13.5" customHeight="1">
      <c r="A50" s="395" t="s">
        <v>72</v>
      </c>
      <c r="B50" s="395" t="s">
        <v>263</v>
      </c>
      <c r="C50" s="600">
        <v>2.0116227089852479E-3</v>
      </c>
      <c r="D50" s="600">
        <v>7.5000000000000002E-6</v>
      </c>
      <c r="E50" s="600">
        <v>1.794E-4</v>
      </c>
      <c r="F50" s="600">
        <v>1.794E-4</v>
      </c>
      <c r="G50" s="600">
        <v>1.625355393043083E-5</v>
      </c>
      <c r="H50" s="429">
        <v>0</v>
      </c>
      <c r="I50" s="429">
        <v>0</v>
      </c>
      <c r="J50" s="395"/>
    </row>
    <row r="51" spans="1:10" s="421" customFormat="1">
      <c r="A51" s="421" t="s">
        <v>558</v>
      </c>
      <c r="C51" s="601"/>
      <c r="D51" s="601"/>
      <c r="E51" s="601"/>
      <c r="F51" s="601"/>
      <c r="G51" s="601"/>
      <c r="H51" s="598"/>
      <c r="I51" s="598"/>
    </row>
    <row r="52" spans="1:10" s="421" customFormat="1">
      <c r="A52" s="990" t="s">
        <v>409</v>
      </c>
      <c r="B52" s="990"/>
      <c r="C52" s="990"/>
      <c r="D52" s="990"/>
      <c r="E52" s="990"/>
      <c r="F52" s="990"/>
      <c r="G52" s="990"/>
      <c r="H52" s="990"/>
      <c r="I52" s="990"/>
      <c r="J52" s="990"/>
    </row>
    <row r="53" spans="1:10">
      <c r="A53" s="395" t="s">
        <v>73</v>
      </c>
      <c r="B53" s="395"/>
      <c r="C53" s="395" t="s">
        <v>8</v>
      </c>
      <c r="D53" s="395" t="s">
        <v>26</v>
      </c>
      <c r="E53" s="395" t="s">
        <v>79</v>
      </c>
      <c r="F53" s="602" t="s">
        <v>27</v>
      </c>
      <c r="G53" s="602" t="s">
        <v>76</v>
      </c>
      <c r="H53" s="395" t="s">
        <v>74</v>
      </c>
      <c r="I53" s="603" t="s">
        <v>180</v>
      </c>
      <c r="J53" s="603" t="s">
        <v>181</v>
      </c>
    </row>
    <row r="54" spans="1:10">
      <c r="A54" s="395" t="s">
        <v>75</v>
      </c>
      <c r="B54" s="395" t="s">
        <v>263</v>
      </c>
      <c r="C54" s="429"/>
      <c r="D54" s="429"/>
      <c r="E54" s="429"/>
      <c r="F54" s="429"/>
      <c r="G54" s="429"/>
      <c r="H54" s="429"/>
      <c r="I54" s="429">
        <v>0</v>
      </c>
      <c r="J54" s="395"/>
    </row>
    <row r="55" spans="1:10">
      <c r="A55" s="395" t="s">
        <v>66</v>
      </c>
      <c r="B55" s="395" t="s">
        <v>263</v>
      </c>
      <c r="C55" s="600">
        <f>190/1000000</f>
        <v>1.9000000000000001E-4</v>
      </c>
      <c r="D55" s="600">
        <f>0.5/1000000</f>
        <v>4.9999999999999998E-7</v>
      </c>
      <c r="E55" s="600">
        <f>76/1000000</f>
        <v>7.6000000000000004E-5</v>
      </c>
      <c r="F55" s="600">
        <f>E55</f>
        <v>7.6000000000000004E-5</v>
      </c>
      <c r="G55" s="600">
        <f>3/1000000</f>
        <v>3.0000000000000001E-6</v>
      </c>
      <c r="H55" s="429">
        <v>0</v>
      </c>
      <c r="I55" s="429">
        <v>0</v>
      </c>
      <c r="J55" s="395"/>
    </row>
    <row r="56" spans="1:10">
      <c r="A56" s="395" t="s">
        <v>67</v>
      </c>
      <c r="B56" s="395" t="s">
        <v>263</v>
      </c>
      <c r="C56" s="600">
        <f>170/1000000</f>
        <v>1.7000000000000001E-4</v>
      </c>
      <c r="D56" s="600">
        <f>0.5/1000000</f>
        <v>4.9999999999999998E-7</v>
      </c>
      <c r="E56" s="600">
        <f>76/1000000</f>
        <v>7.6000000000000004E-5</v>
      </c>
      <c r="F56" s="600">
        <f t="shared" ref="F56:F61" si="1">E56</f>
        <v>7.6000000000000004E-5</v>
      </c>
      <c r="G56" s="600">
        <f>3/1000000</f>
        <v>3.0000000000000001E-6</v>
      </c>
      <c r="H56" s="429">
        <v>0</v>
      </c>
      <c r="I56" s="429">
        <v>0</v>
      </c>
      <c r="J56" s="395"/>
    </row>
    <row r="57" spans="1:10">
      <c r="A57" s="395" t="s">
        <v>68</v>
      </c>
      <c r="B57" s="395" t="s">
        <v>263</v>
      </c>
      <c r="C57" s="600">
        <f>93.74/1000</f>
        <v>9.373999999999999E-2</v>
      </c>
      <c r="D57" s="600">
        <f>0.236369967355822/3.6</f>
        <v>6.5658324265506107E-2</v>
      </c>
      <c r="E57" s="600">
        <v>0</v>
      </c>
      <c r="F57" s="600">
        <f t="shared" si="1"/>
        <v>0</v>
      </c>
      <c r="G57" s="600">
        <f>76.59/1000</f>
        <v>7.6590000000000005E-2</v>
      </c>
      <c r="H57" s="429">
        <f>93.97/1000</f>
        <v>9.3969999999999998E-2</v>
      </c>
      <c r="I57" s="429">
        <f>J57*1000/3.6</f>
        <v>230.97222222222223</v>
      </c>
      <c r="J57" s="429">
        <v>0.83150000000000002</v>
      </c>
    </row>
    <row r="58" spans="1:10">
      <c r="A58" s="395" t="s">
        <v>69</v>
      </c>
      <c r="B58" s="395" t="s">
        <v>263</v>
      </c>
      <c r="C58" s="600">
        <f>100/1000000000</f>
        <v>9.9999999999999995E-8</v>
      </c>
      <c r="D58" s="600">
        <v>0</v>
      </c>
      <c r="E58" s="600">
        <f>50/1000000000</f>
        <v>4.9999999999999998E-8</v>
      </c>
      <c r="F58" s="600">
        <f t="shared" si="1"/>
        <v>4.9999999999999998E-8</v>
      </c>
      <c r="G58" s="600">
        <f>10/1000000000</f>
        <v>1E-8</v>
      </c>
      <c r="H58" s="429">
        <v>0</v>
      </c>
      <c r="I58" s="429">
        <v>0</v>
      </c>
      <c r="J58" s="395"/>
    </row>
    <row r="59" spans="1:10">
      <c r="A59" s="395" t="s">
        <v>70</v>
      </c>
      <c r="B59" s="395" t="s">
        <v>263</v>
      </c>
      <c r="C59" s="600">
        <f>900/1000000</f>
        <v>8.9999999999999998E-4</v>
      </c>
      <c r="D59" s="600">
        <f>0.5/1000000</f>
        <v>4.9999999999999998E-7</v>
      </c>
      <c r="E59" s="600">
        <f>20/1000000</f>
        <v>2.0000000000000002E-5</v>
      </c>
      <c r="F59" s="600">
        <f t="shared" si="1"/>
        <v>2.0000000000000002E-5</v>
      </c>
      <c r="G59" s="600">
        <f>140/1000000</f>
        <v>1.3999999999999999E-4</v>
      </c>
      <c r="H59" s="429">
        <v>0</v>
      </c>
      <c r="I59" s="429">
        <v>0</v>
      </c>
      <c r="J59" s="395"/>
    </row>
    <row r="60" spans="1:10">
      <c r="A60" s="395" t="s">
        <v>71</v>
      </c>
      <c r="B60" s="395" t="s">
        <v>263</v>
      </c>
      <c r="C60" s="600">
        <f>160/1000000</f>
        <v>1.6000000000000001E-4</v>
      </c>
      <c r="D60" s="600">
        <f>70/1000000</f>
        <v>6.9999999999999994E-5</v>
      </c>
      <c r="E60" s="600">
        <f>80/1000000</f>
        <v>8.0000000000000007E-5</v>
      </c>
      <c r="F60" s="600">
        <f t="shared" si="1"/>
        <v>8.0000000000000007E-5</v>
      </c>
      <c r="G60" s="600">
        <f>70/1000000</f>
        <v>6.9999999999999994E-5</v>
      </c>
      <c r="H60" s="429">
        <v>0</v>
      </c>
      <c r="I60" s="429">
        <v>0</v>
      </c>
      <c r="J60" s="395"/>
    </row>
    <row r="61" spans="1:10">
      <c r="A61" s="395" t="s">
        <v>72</v>
      </c>
      <c r="B61" s="395" t="s">
        <v>263</v>
      </c>
      <c r="C61" s="600">
        <v>2.0116227089852479E-3</v>
      </c>
      <c r="D61" s="600">
        <v>7.5000000000000002E-6</v>
      </c>
      <c r="E61" s="600">
        <v>1.794E-4</v>
      </c>
      <c r="F61" s="600">
        <f t="shared" si="1"/>
        <v>1.794E-4</v>
      </c>
      <c r="G61" s="600">
        <v>1.625355393043083E-5</v>
      </c>
      <c r="H61" s="429">
        <v>0</v>
      </c>
      <c r="I61" s="429">
        <v>0</v>
      </c>
      <c r="J61" s="395"/>
    </row>
    <row r="64" spans="1:10">
      <c r="A64" s="978" t="s">
        <v>273</v>
      </c>
      <c r="B64" s="438">
        <v>0.71</v>
      </c>
      <c r="C64" s="978" t="s">
        <v>276</v>
      </c>
      <c r="D64" s="395">
        <v>2.6</v>
      </c>
      <c r="E64" s="978" t="s">
        <v>275</v>
      </c>
      <c r="F64" s="395">
        <v>3.63</v>
      </c>
      <c r="G64" s="978" t="s">
        <v>277</v>
      </c>
      <c r="H64" s="395">
        <v>15</v>
      </c>
      <c r="J64" s="396" t="s">
        <v>109</v>
      </c>
    </row>
    <row r="65" spans="1:10">
      <c r="A65" s="978"/>
      <c r="C65" s="978"/>
      <c r="E65" s="978"/>
      <c r="G65" s="978"/>
      <c r="J65" s="378" t="s">
        <v>109</v>
      </c>
    </row>
    <row r="66" spans="1:10">
      <c r="A66" s="978"/>
      <c r="C66" s="978"/>
      <c r="E66" s="978"/>
      <c r="G66" s="978"/>
      <c r="J66" s="378" t="s">
        <v>297</v>
      </c>
    </row>
    <row r="67" spans="1:10">
      <c r="A67" s="978"/>
      <c r="C67" s="978"/>
      <c r="E67" s="978"/>
      <c r="G67" s="978"/>
      <c r="J67" s="378" t="s">
        <v>88</v>
      </c>
    </row>
    <row r="68" spans="1:10">
      <c r="J68" s="378" t="s">
        <v>110</v>
      </c>
    </row>
  </sheetData>
  <mergeCells count="24">
    <mergeCell ref="J2:L2"/>
    <mergeCell ref="A41:J41"/>
    <mergeCell ref="C64:C67"/>
    <mergeCell ref="E64:E67"/>
    <mergeCell ref="A64:A67"/>
    <mergeCell ref="G64:G67"/>
    <mergeCell ref="J11:K11"/>
    <mergeCell ref="A18:A21"/>
    <mergeCell ref="B18:H18"/>
    <mergeCell ref="B19:B21"/>
    <mergeCell ref="C19:D19"/>
    <mergeCell ref="E19:E21"/>
    <mergeCell ref="F19:F21"/>
    <mergeCell ref="G19:H20"/>
    <mergeCell ref="C20:D20"/>
    <mergeCell ref="A29:A32"/>
    <mergeCell ref="A52:J52"/>
    <mergeCell ref="B29:H29"/>
    <mergeCell ref="B30:B32"/>
    <mergeCell ref="C30:D30"/>
    <mergeCell ref="E30:E32"/>
    <mergeCell ref="F30:F32"/>
    <mergeCell ref="G30:H31"/>
    <mergeCell ref="C31:D31"/>
  </mergeCells>
  <dataValidations disablePrompts="1" count="1">
    <dataValidation type="list" allowBlank="1" showInputMessage="1" showErrorMessage="1" sqref="E16" xr:uid="{00000000-0002-0000-0200-000000000000}">
      <formula1>$A$4:$A$10</formula1>
    </dataValidation>
  </dataValidations>
  <pageMargins left="0.7" right="0.7" top="0.75" bottom="0.75" header="0.3" footer="0.3"/>
  <pageSetup paperSize="9" scale="99" orientation="landscape" r:id="rId1"/>
  <colBreaks count="1" manualBreakCount="1">
    <brk id="12" max="5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9600"/>
  </sheetPr>
  <dimension ref="A1:CF197"/>
  <sheetViews>
    <sheetView view="pageBreakPreview" zoomScaleNormal="115" zoomScaleSheetLayoutView="100" workbookViewId="0">
      <pane xSplit="3" ySplit="4" topLeftCell="D5" activePane="bottomRight" state="frozen"/>
      <selection pane="topRight" activeCell="D1" sqref="D1"/>
      <selection pane="bottomLeft" activeCell="A5" sqref="A5"/>
      <selection pane="bottomRight" activeCell="O18" sqref="O18"/>
    </sheetView>
  </sheetViews>
  <sheetFormatPr defaultColWidth="9" defaultRowHeight="8.4"/>
  <cols>
    <col min="1" max="1" width="3" style="308" bestFit="1" customWidth="1"/>
    <col min="2" max="2" width="2.59765625" style="308" hidden="1" customWidth="1"/>
    <col min="3" max="3" width="10.59765625" style="308" hidden="1" customWidth="1"/>
    <col min="4" max="4" width="14.3984375" style="856" customWidth="1"/>
    <col min="5" max="5" width="8.19921875" style="847" customWidth="1"/>
    <col min="6" max="6" width="5.5" style="88" bestFit="1" customWidth="1"/>
    <col min="7" max="7" width="6.59765625" style="308" customWidth="1"/>
    <col min="8" max="8" width="2.19921875" style="308" customWidth="1"/>
    <col min="9" max="9" width="2.8984375" style="308" customWidth="1"/>
    <col min="10" max="10" width="12.19921875" style="308" hidden="1" customWidth="1"/>
    <col min="11" max="11" width="5.19921875" style="308" customWidth="1"/>
    <col min="12" max="12" width="6" style="308" customWidth="1"/>
    <col min="13" max="13" width="7.69921875" style="308" customWidth="1"/>
    <col min="14" max="14" width="7.3984375" style="341" customWidth="1"/>
    <col min="15" max="15" width="10.19921875" style="341" customWidth="1"/>
    <col min="16" max="16" width="8.59765625" style="308" customWidth="1"/>
    <col min="17" max="17" width="5.8984375" style="308" customWidth="1"/>
    <col min="18" max="18" width="8.69921875" style="308" customWidth="1"/>
    <col min="19" max="19" width="8.19921875" style="308" customWidth="1"/>
    <col min="20" max="20" width="9.5" style="308" bestFit="1" customWidth="1"/>
    <col min="21" max="21" width="3.19921875" style="341" hidden="1" customWidth="1"/>
    <col min="22" max="22" width="3.5" style="341" hidden="1" customWidth="1"/>
    <col min="23" max="23" width="3.3984375" style="341" hidden="1" customWidth="1"/>
    <col min="24" max="26" width="2.3984375" style="341" hidden="1" customWidth="1"/>
    <col min="27" max="27" width="2.3984375" style="308" hidden="1" customWidth="1"/>
    <col min="28" max="28" width="3.19921875" style="308" hidden="1" customWidth="1"/>
    <col min="29" max="29" width="3.5" style="308" hidden="1" customWidth="1"/>
    <col min="30" max="30" width="3.3984375" style="308" hidden="1" customWidth="1"/>
    <col min="31" max="34" width="2.3984375" style="308" hidden="1" customWidth="1"/>
    <col min="35" max="35" width="3.19921875" style="308" hidden="1" customWidth="1"/>
    <col min="36" max="36" width="3.5" style="308" hidden="1" customWidth="1"/>
    <col min="37" max="41" width="2.3984375" style="308" hidden="1" customWidth="1"/>
    <col min="42" max="42" width="5.19921875" style="308" customWidth="1"/>
    <col min="43" max="43" width="4.8984375" style="308" customWidth="1"/>
    <col min="44" max="44" width="3.59765625" style="308" customWidth="1"/>
    <col min="45" max="45" width="3.8984375" style="308" customWidth="1"/>
    <col min="46" max="46" width="4" style="308" customWidth="1"/>
    <col min="47" max="50" width="3.19921875" style="308" customWidth="1"/>
    <col min="51" max="51" width="3.59765625" style="308" customWidth="1"/>
    <col min="52" max="53" width="4.59765625" style="308" customWidth="1"/>
    <col min="54" max="54" width="4.5" style="341" customWidth="1"/>
    <col min="55" max="55" width="6.69921875" style="308" customWidth="1"/>
    <col min="56" max="56" width="6" style="308" customWidth="1"/>
    <col min="57" max="57" width="5.19921875" style="88" customWidth="1"/>
    <col min="58" max="58" width="6.5" style="88" customWidth="1"/>
    <col min="59" max="59" width="5.59765625" style="88" customWidth="1"/>
    <col min="60" max="60" width="9" style="341" customWidth="1"/>
    <col min="61" max="62" width="9" style="308" hidden="1" customWidth="1"/>
    <col min="63" max="63" width="5.3984375" style="110" hidden="1" customWidth="1"/>
    <col min="64" max="64" width="6.8984375" style="110" hidden="1" customWidth="1"/>
    <col min="65" max="65" width="5.19921875" style="110" hidden="1" customWidth="1"/>
    <col min="66" max="66" width="5" style="110" hidden="1" customWidth="1"/>
    <col min="67" max="67" width="5.19921875" style="110" hidden="1" customWidth="1"/>
    <col min="68" max="68" width="4.59765625" style="110" hidden="1" customWidth="1"/>
    <col min="69" max="69" width="7.69921875" style="110" hidden="1" customWidth="1"/>
    <col min="70" max="70" width="7" style="110" hidden="1" customWidth="1"/>
    <col min="71" max="71" width="7.19921875" style="110" hidden="1" customWidth="1"/>
    <col min="72" max="72" width="7" style="110" hidden="1" customWidth="1"/>
    <col min="73" max="73" width="3.8984375" style="110" hidden="1" customWidth="1"/>
    <col min="74" max="75" width="7.19921875" style="110" hidden="1" customWidth="1"/>
    <col min="76" max="78" width="3.69921875" style="110" hidden="1" customWidth="1"/>
    <col min="79" max="79" width="3.8984375" style="110" hidden="1" customWidth="1"/>
    <col min="80" max="80" width="7.19921875" style="110" hidden="1" customWidth="1"/>
    <col min="81" max="81" width="4.3984375" style="110" hidden="1" customWidth="1"/>
    <col min="82" max="83" width="3.69921875" style="110" hidden="1" customWidth="1"/>
    <col min="84" max="84" width="7.19921875" style="110" hidden="1" customWidth="1"/>
    <col min="85" max="85" width="9" style="308" customWidth="1"/>
    <col min="86" max="16384" width="9" style="308"/>
  </cols>
  <sheetData>
    <row r="1" spans="1:84" ht="15" customHeight="1">
      <c r="A1" s="1013" t="s">
        <v>562</v>
      </c>
      <c r="B1" s="1013"/>
      <c r="C1" s="1013"/>
      <c r="D1" s="1013"/>
      <c r="E1" s="1013"/>
      <c r="F1" s="1013"/>
      <c r="G1" s="1013"/>
      <c r="H1" s="1013"/>
      <c r="I1" s="1013"/>
      <c r="J1" s="1013"/>
      <c r="K1" s="1013"/>
      <c r="L1" s="1013"/>
      <c r="M1" s="1013"/>
      <c r="N1" s="1013"/>
      <c r="O1" s="1013"/>
      <c r="P1" s="1013"/>
      <c r="Q1" s="1013"/>
      <c r="R1" s="1013"/>
      <c r="S1" s="1013"/>
      <c r="T1" s="1013"/>
      <c r="U1" s="1013"/>
      <c r="V1" s="1013"/>
      <c r="W1" s="1013"/>
      <c r="X1" s="1013"/>
      <c r="Y1" s="1013"/>
      <c r="Z1" s="1013"/>
      <c r="AA1" s="1013"/>
      <c r="AB1" s="1013"/>
      <c r="AC1" s="1013"/>
      <c r="AD1" s="1013"/>
      <c r="AE1" s="1013"/>
      <c r="AF1" s="1013"/>
      <c r="AG1" s="1013"/>
      <c r="AH1" s="1013"/>
      <c r="AI1" s="1013"/>
      <c r="AJ1" s="1013"/>
      <c r="AK1" s="1013"/>
      <c r="AL1" s="1013"/>
      <c r="AM1" s="1013"/>
      <c r="AN1" s="1013"/>
      <c r="AO1" s="1013"/>
      <c r="AP1" s="1013"/>
      <c r="AQ1" s="1013"/>
      <c r="AR1" s="1013"/>
      <c r="AS1" s="1013"/>
      <c r="AT1" s="1013"/>
      <c r="AU1" s="1013"/>
      <c r="AV1" s="1013"/>
      <c r="AW1" s="1013"/>
      <c r="AX1" s="1013"/>
      <c r="AY1" s="1013"/>
      <c r="AZ1" s="1013"/>
      <c r="BA1" s="1013"/>
      <c r="BB1" s="1013"/>
      <c r="BC1" s="1013"/>
      <c r="BD1" s="1013"/>
      <c r="BE1" s="1013"/>
      <c r="BF1" s="1013"/>
      <c r="BG1" s="1013"/>
      <c r="BI1" s="1010" t="s">
        <v>425</v>
      </c>
      <c r="BJ1" s="1010"/>
      <c r="BK1" s="1010"/>
      <c r="BL1" s="1010"/>
      <c r="BM1" s="1010"/>
      <c r="BN1" s="1010"/>
      <c r="BO1" s="1010"/>
      <c r="BP1" s="1010"/>
      <c r="BQ1" s="1010"/>
      <c r="BR1" s="1010"/>
      <c r="BS1" s="1010"/>
      <c r="BT1" s="1010"/>
      <c r="BU1" s="1010"/>
      <c r="BV1" s="1010"/>
      <c r="BW1" s="1010"/>
      <c r="BX1" s="1010"/>
      <c r="BY1" s="1010"/>
      <c r="BZ1" s="1010"/>
      <c r="CA1" s="1010"/>
      <c r="CB1" s="1010"/>
      <c r="CC1" s="1010"/>
      <c r="CD1" s="1010"/>
      <c r="CE1" s="1010"/>
      <c r="CF1" s="1010"/>
    </row>
    <row r="2" spans="1:84" s="310" customFormat="1" ht="14.25" customHeight="1">
      <c r="A2" s="1014" t="s">
        <v>4</v>
      </c>
      <c r="B2" s="1001" t="s">
        <v>156</v>
      </c>
      <c r="C2" s="1001"/>
      <c r="D2" s="1015" t="s">
        <v>157</v>
      </c>
      <c r="E2" s="1012" t="s">
        <v>159</v>
      </c>
      <c r="F2" s="1000" t="s">
        <v>24</v>
      </c>
      <c r="G2" s="1000" t="s">
        <v>160</v>
      </c>
      <c r="H2" s="1000" t="s">
        <v>164</v>
      </c>
      <c r="I2" s="1000"/>
      <c r="J2" s="1000" t="s">
        <v>34</v>
      </c>
      <c r="K2" s="1000" t="s">
        <v>398</v>
      </c>
      <c r="L2" s="1000" t="s">
        <v>25</v>
      </c>
      <c r="M2" s="1007" t="s">
        <v>30</v>
      </c>
      <c r="N2" s="1000" t="s">
        <v>83</v>
      </c>
      <c r="O2" s="1000" t="s">
        <v>84</v>
      </c>
      <c r="P2" s="1000" t="s">
        <v>78</v>
      </c>
      <c r="Q2" s="1000" t="s">
        <v>428</v>
      </c>
      <c r="R2" s="1000" t="s">
        <v>47</v>
      </c>
      <c r="S2" s="1000" t="s">
        <v>96</v>
      </c>
      <c r="T2" s="1000" t="s">
        <v>413</v>
      </c>
      <c r="U2" s="1001" t="s">
        <v>412</v>
      </c>
      <c r="V2" s="1001"/>
      <c r="W2" s="1001"/>
      <c r="X2" s="1001"/>
      <c r="Y2" s="1001"/>
      <c r="Z2" s="1001"/>
      <c r="AA2" s="1001"/>
      <c r="AB2" s="1001" t="s">
        <v>349</v>
      </c>
      <c r="AC2" s="1001"/>
      <c r="AD2" s="1001"/>
      <c r="AE2" s="1001"/>
      <c r="AF2" s="1001"/>
      <c r="AG2" s="1001"/>
      <c r="AH2" s="1001"/>
      <c r="AI2" s="1001" t="s">
        <v>81</v>
      </c>
      <c r="AJ2" s="1001"/>
      <c r="AK2" s="1001"/>
      <c r="AL2" s="1001"/>
      <c r="AM2" s="1001"/>
      <c r="AN2" s="1001"/>
      <c r="AO2" s="1001"/>
      <c r="AP2" s="1007" t="s">
        <v>166</v>
      </c>
      <c r="AQ2" s="1007" t="s">
        <v>167</v>
      </c>
      <c r="AR2" s="1001" t="s">
        <v>187</v>
      </c>
      <c r="AS2" s="1001"/>
      <c r="AT2" s="1001"/>
      <c r="AU2" s="1001"/>
      <c r="AV2" s="1001"/>
      <c r="AW2" s="1001"/>
      <c r="AX2" s="1001"/>
      <c r="AY2" s="1000" t="s">
        <v>85</v>
      </c>
      <c r="AZ2" s="1000" t="s">
        <v>89</v>
      </c>
      <c r="BA2" s="1000" t="s">
        <v>283</v>
      </c>
      <c r="BB2" s="1007" t="s">
        <v>168</v>
      </c>
      <c r="BC2" s="1000" t="s">
        <v>89</v>
      </c>
      <c r="BD2" s="1000" t="s">
        <v>169</v>
      </c>
      <c r="BE2" s="1000" t="s">
        <v>170</v>
      </c>
      <c r="BF2" s="1000" t="s">
        <v>171</v>
      </c>
      <c r="BG2" s="1000" t="s">
        <v>169</v>
      </c>
      <c r="BH2" s="1000" t="s">
        <v>363</v>
      </c>
      <c r="BI2" s="308" t="s">
        <v>414</v>
      </c>
      <c r="BJ2" s="308"/>
      <c r="BK2" s="1008" t="s">
        <v>112</v>
      </c>
      <c r="BL2" s="1008"/>
      <c r="BM2" s="1008"/>
      <c r="BN2" s="1008"/>
      <c r="BO2" s="1008"/>
      <c r="BP2" s="1008"/>
      <c r="BQ2" s="1008"/>
      <c r="BR2" s="1008"/>
      <c r="BS2" s="1008"/>
      <c r="BT2" s="604"/>
      <c r="BU2" s="1008" t="s">
        <v>113</v>
      </c>
      <c r="BV2" s="1008"/>
      <c r="BW2" s="1008"/>
      <c r="BX2" s="1008"/>
      <c r="BY2" s="1008"/>
      <c r="BZ2" s="1008"/>
      <c r="CA2" s="779"/>
      <c r="CB2" s="779"/>
      <c r="CC2" s="779"/>
      <c r="CD2" s="779"/>
      <c r="CE2" s="779"/>
      <c r="CF2" s="779"/>
    </row>
    <row r="3" spans="1:84" s="310" customFormat="1" ht="21" customHeight="1">
      <c r="A3" s="1014"/>
      <c r="B3" s="1001"/>
      <c r="C3" s="1001"/>
      <c r="D3" s="1015"/>
      <c r="E3" s="1012"/>
      <c r="F3" s="1000"/>
      <c r="G3" s="1000"/>
      <c r="H3" s="1000"/>
      <c r="I3" s="1000"/>
      <c r="J3" s="1000"/>
      <c r="K3" s="1000"/>
      <c r="L3" s="1000"/>
      <c r="M3" s="1007"/>
      <c r="N3" s="1000"/>
      <c r="O3" s="1000"/>
      <c r="P3" s="1000"/>
      <c r="Q3" s="1000"/>
      <c r="R3" s="1000"/>
      <c r="S3" s="1000"/>
      <c r="T3" s="1000"/>
      <c r="U3" s="248" t="s">
        <v>66</v>
      </c>
      <c r="V3" s="248" t="s">
        <v>67</v>
      </c>
      <c r="W3" s="248" t="s">
        <v>68</v>
      </c>
      <c r="X3" s="248" t="s">
        <v>69</v>
      </c>
      <c r="Y3" s="248" t="s">
        <v>70</v>
      </c>
      <c r="Z3" s="248" t="s">
        <v>71</v>
      </c>
      <c r="AA3" s="248" t="s">
        <v>72</v>
      </c>
      <c r="AB3" s="248" t="s">
        <v>66</v>
      </c>
      <c r="AC3" s="248" t="s">
        <v>67</v>
      </c>
      <c r="AD3" s="248" t="s">
        <v>68</v>
      </c>
      <c r="AE3" s="248" t="s">
        <v>69</v>
      </c>
      <c r="AF3" s="248" t="s">
        <v>70</v>
      </c>
      <c r="AG3" s="248" t="s">
        <v>71</v>
      </c>
      <c r="AH3" s="248" t="s">
        <v>72</v>
      </c>
      <c r="AI3" s="248" t="s">
        <v>66</v>
      </c>
      <c r="AJ3" s="248" t="s">
        <v>67</v>
      </c>
      <c r="AK3" s="248" t="s">
        <v>68</v>
      </c>
      <c r="AL3" s="248" t="s">
        <v>69</v>
      </c>
      <c r="AM3" s="248" t="s">
        <v>70</v>
      </c>
      <c r="AN3" s="248" t="s">
        <v>71</v>
      </c>
      <c r="AO3" s="248" t="s">
        <v>72</v>
      </c>
      <c r="AP3" s="1007"/>
      <c r="AQ3" s="1007"/>
      <c r="AR3" s="248" t="s">
        <v>66</v>
      </c>
      <c r="AS3" s="248" t="s">
        <v>67</v>
      </c>
      <c r="AT3" s="248" t="s">
        <v>100</v>
      </c>
      <c r="AU3" s="248" t="s">
        <v>69</v>
      </c>
      <c r="AV3" s="248" t="s">
        <v>70</v>
      </c>
      <c r="AW3" s="248" t="s">
        <v>71</v>
      </c>
      <c r="AX3" s="248" t="s">
        <v>72</v>
      </c>
      <c r="AY3" s="1000"/>
      <c r="AZ3" s="1000"/>
      <c r="BA3" s="1000"/>
      <c r="BB3" s="1007"/>
      <c r="BC3" s="1000"/>
      <c r="BD3" s="1000"/>
      <c r="BE3" s="1000"/>
      <c r="BF3" s="1000"/>
      <c r="BG3" s="1000"/>
      <c r="BH3" s="1009"/>
      <c r="BK3" s="313" t="s">
        <v>114</v>
      </c>
      <c r="BL3" s="313" t="s">
        <v>115</v>
      </c>
      <c r="BM3" s="605" t="s">
        <v>38</v>
      </c>
      <c r="BN3" s="313" t="s">
        <v>115</v>
      </c>
      <c r="BO3" s="605" t="s">
        <v>40</v>
      </c>
      <c r="BP3" s="313" t="s">
        <v>115</v>
      </c>
      <c r="BQ3" s="605" t="s">
        <v>42</v>
      </c>
      <c r="BR3" s="313" t="s">
        <v>115</v>
      </c>
      <c r="BS3" s="605" t="s">
        <v>44</v>
      </c>
      <c r="BT3" s="604"/>
      <c r="BU3" s="313" t="s">
        <v>8</v>
      </c>
      <c r="BV3" s="313" t="s">
        <v>116</v>
      </c>
      <c r="BW3" s="313" t="s">
        <v>79</v>
      </c>
      <c r="BX3" s="313" t="s">
        <v>27</v>
      </c>
      <c r="BY3" s="313" t="s">
        <v>117</v>
      </c>
      <c r="BZ3" s="313" t="s">
        <v>29</v>
      </c>
      <c r="CA3" s="313" t="s">
        <v>8</v>
      </c>
      <c r="CB3" s="313" t="s">
        <v>116</v>
      </c>
      <c r="CC3" s="313" t="s">
        <v>79</v>
      </c>
      <c r="CD3" s="313" t="s">
        <v>27</v>
      </c>
      <c r="CE3" s="313" t="s">
        <v>117</v>
      </c>
      <c r="CF3" s="313" t="s">
        <v>29</v>
      </c>
    </row>
    <row r="4" spans="1:84" s="572" customFormat="1" ht="10.199999999999999">
      <c r="A4" s="793">
        <v>1</v>
      </c>
      <c r="B4" s="793"/>
      <c r="C4" s="793"/>
      <c r="D4" s="851">
        <v>2</v>
      </c>
      <c r="E4" s="794">
        <v>3</v>
      </c>
      <c r="F4" s="793">
        <v>4</v>
      </c>
      <c r="G4" s="793">
        <v>5</v>
      </c>
      <c r="H4" s="1011">
        <v>6</v>
      </c>
      <c r="I4" s="1011"/>
      <c r="J4" s="780" t="s">
        <v>433</v>
      </c>
      <c r="K4" s="793">
        <v>7</v>
      </c>
      <c r="L4" s="795">
        <v>8</v>
      </c>
      <c r="M4" s="793">
        <v>9</v>
      </c>
      <c r="N4" s="793">
        <v>10</v>
      </c>
      <c r="O4" s="793">
        <v>11</v>
      </c>
      <c r="P4" s="793">
        <v>12</v>
      </c>
      <c r="Q4" s="1001" t="s">
        <v>429</v>
      </c>
      <c r="R4" s="1001"/>
      <c r="S4" s="1001"/>
      <c r="T4" s="793">
        <v>13</v>
      </c>
      <c r="U4" s="1002" t="s">
        <v>431</v>
      </c>
      <c r="V4" s="1002"/>
      <c r="W4" s="1002"/>
      <c r="X4" s="1002"/>
      <c r="Y4" s="1002"/>
      <c r="Z4" s="1002"/>
      <c r="AA4" s="1002"/>
      <c r="AB4" s="1002"/>
      <c r="AC4" s="1002"/>
      <c r="AD4" s="1002"/>
      <c r="AE4" s="1002"/>
      <c r="AF4" s="1002"/>
      <c r="AG4" s="1002"/>
      <c r="AH4" s="1002"/>
      <c r="AI4" s="1002"/>
      <c r="AJ4" s="1002"/>
      <c r="AK4" s="1002"/>
      <c r="AL4" s="1002"/>
      <c r="AM4" s="1002"/>
      <c r="AN4" s="1002"/>
      <c r="AO4" s="1002"/>
      <c r="AP4" s="793">
        <v>14</v>
      </c>
      <c r="AQ4" s="793">
        <v>15</v>
      </c>
      <c r="AR4" s="793">
        <v>16</v>
      </c>
      <c r="AS4" s="793">
        <v>17</v>
      </c>
      <c r="AT4" s="793">
        <v>18</v>
      </c>
      <c r="AU4" s="793">
        <f t="shared" ref="AU4:BG4" si="0">AT4+1</f>
        <v>19</v>
      </c>
      <c r="AV4" s="793">
        <f t="shared" si="0"/>
        <v>20</v>
      </c>
      <c r="AW4" s="793">
        <f t="shared" si="0"/>
        <v>21</v>
      </c>
      <c r="AX4" s="793">
        <f t="shared" si="0"/>
        <v>22</v>
      </c>
      <c r="AY4" s="793">
        <f t="shared" si="0"/>
        <v>23</v>
      </c>
      <c r="AZ4" s="793">
        <f t="shared" si="0"/>
        <v>24</v>
      </c>
      <c r="BA4" s="793">
        <f>AZ4+1</f>
        <v>25</v>
      </c>
      <c r="BB4" s="795">
        <f t="shared" si="0"/>
        <v>26</v>
      </c>
      <c r="BC4" s="793">
        <f t="shared" si="0"/>
        <v>27</v>
      </c>
      <c r="BD4" s="793">
        <f t="shared" si="0"/>
        <v>28</v>
      </c>
      <c r="BE4" s="793">
        <f t="shared" si="0"/>
        <v>29</v>
      </c>
      <c r="BF4" s="793">
        <f t="shared" si="0"/>
        <v>30</v>
      </c>
      <c r="BG4" s="793">
        <f t="shared" si="0"/>
        <v>31</v>
      </c>
      <c r="BH4" s="795">
        <v>35</v>
      </c>
      <c r="BK4" s="319"/>
      <c r="BL4" s="319"/>
      <c r="BM4" s="319"/>
      <c r="BN4" s="319"/>
      <c r="BO4" s="319"/>
      <c r="BP4" s="319"/>
      <c r="BQ4" s="319"/>
      <c r="BR4" s="319"/>
      <c r="BS4" s="319"/>
      <c r="BT4" s="319"/>
      <c r="BU4" s="319"/>
      <c r="BV4" s="319"/>
      <c r="BW4" s="319"/>
      <c r="BX4" s="319"/>
      <c r="BY4" s="319"/>
      <c r="BZ4" s="319"/>
      <c r="CA4" s="319"/>
      <c r="CB4" s="319"/>
      <c r="CC4" s="319"/>
      <c r="CD4" s="319"/>
      <c r="CE4" s="319"/>
      <c r="CF4" s="319"/>
    </row>
    <row r="5" spans="1:84" ht="13.2">
      <c r="A5" s="869">
        <v>1</v>
      </c>
      <c r="B5" s="321"/>
      <c r="C5" s="321">
        <f t="shared" ref="C5" si="1">IF(ISTEXT(D5),1)</f>
        <v>1</v>
      </c>
      <c r="D5" s="857" t="s">
        <v>593</v>
      </c>
      <c r="E5" s="857" t="s">
        <v>594</v>
      </c>
      <c r="F5" s="866">
        <v>1968</v>
      </c>
      <c r="G5" s="848">
        <v>123.38</v>
      </c>
      <c r="H5" s="304">
        <v>30</v>
      </c>
      <c r="I5" s="304"/>
      <c r="J5" s="304">
        <f>IF(F5&lt;=1966,'Założenia,wskaźniki, listy'!$H$4,IF(F5&gt;1966,IF(F5&lt;=1985,'Założenia,wskaźniki, listy'!$H$5,IF(F5&gt;1985,IF(F5&lt;=1992,'Założenia,wskaźniki, listy'!$H$6,IF(F5&gt;1992,IF(F5&lt;=1996,'Założenia,wskaźniki, listy'!$H$7,IF(F5&gt;1996,IF(F5&lt;=2013,'Założenia,wskaźniki, listy'!$H$8)))))))))</f>
        <v>250</v>
      </c>
      <c r="K5" s="864" t="s">
        <v>33</v>
      </c>
      <c r="L5" s="304" t="s">
        <v>8</v>
      </c>
      <c r="M5" s="304">
        <v>12</v>
      </c>
      <c r="N5" s="305"/>
      <c r="O5" s="305"/>
      <c r="P5" s="304" t="s">
        <v>313</v>
      </c>
      <c r="Q5" s="480">
        <f t="shared" ref="Q5:Q30" si="2">IF(R5&gt;0,(S5+T5+R5)/2,S5+T5)</f>
        <v>186.1158208125</v>
      </c>
      <c r="R5" s="249">
        <f>IF(K5="kompletna",J5*G5*0.0036*'Założenia,wskaźniki, listy'!$C$15,IF(K5="częściowa",J5*G5*0.0036*'Założenia,wskaźniki, listy'!$C$16,IF(K5="brak",J5*G5*0.0036*'Założenia,wskaźniki, listy'!$C$17,0)))</f>
        <v>88.833600000000004</v>
      </c>
      <c r="S5" s="249">
        <f>H5*'Założenia,wskaźniki, listy'!$L$16</f>
        <v>12.078041625000001</v>
      </c>
      <c r="T5" s="249">
        <f>IF(L5="węgiel",M5*'Założenia,wskaźniki, listy'!$B$4,IF(L5="gaz",M5*'Założenia,wskaźniki, listy'!$B$5,IF(L5="drewno",M5*'Założenia,wskaźniki, listy'!$B$6,IF(L5="pelet",M5*'Założenia,wskaźniki, listy'!$B$7,IF(L5="olej opałowy",M5*'Założenia,wskaźniki, listy'!$B$8,IF(L5="sieć ciepłownicza",0,0))))))</f>
        <v>271.32</v>
      </c>
      <c r="U5" s="249">
        <f>IF(L5="węgiel",T5*'Założenia,wskaźniki, listy'!$C$44,IF(L5="gaz",T5*'Założenia,wskaźniki, listy'!$D$44,IF(L5="drewno",T5*'Założenia,wskaźniki, listy'!$E$44,IF(L5="pelet",T5*'Założenia,wskaźniki, listy'!$F$44,IF(L5="olej opałowy",T5*'Założenia,wskaźniki, listy'!$G$44,IF(L5="sieć ciepłownicza",0,IF(L5="prąd",0,0)))))))</f>
        <v>6.1046999999999997E-2</v>
      </c>
      <c r="V5" s="249">
        <f>IF(L5="węgiel",T5*'Założenia,wskaźniki, listy'!$C$45,IF(L5="gaz",T5*'Założenia,wskaźniki, listy'!$D$45,IF(L5="drewno",T5*'Założenia,wskaźniki, listy'!$E$45,IF(L5="pelet",T5*'Założenia,wskaźniki, listy'!$F$45,IF(L5="olej opałowy",T5*'Założenia,wskaźniki, listy'!$G$45,IF(L5="sieć ciepłownicza",0,IF(L5="prąd",0,0)))))))</f>
        <v>5.4535319999999998E-2</v>
      </c>
      <c r="W5" s="249">
        <f>IF(L5="węgiel",T5*'Założenia,wskaźniki, listy'!$C$46,IF(L5="gaz",T5*'Założenia,wskaźniki, listy'!$D$46,IF(L5="drewno",T5*'Założenia,wskaźniki, listy'!$E$46,IF(L5="pelet",T5*'Założenia,wskaźniki, listy'!$F$46,IF(L5="olej opałowy",T5*'Założenia,wskaźniki, listy'!$G$46,IF(L5="sieć ciepłownicza",0,IF(L5="prąd",0,0)))))))</f>
        <v>25.433536799999995</v>
      </c>
      <c r="X5" s="249">
        <f>IF(L5="węgiel",T5*'Założenia,wskaźniki, listy'!$C$47,IF(L5="gaz",T5*'Założenia,wskaźniki, listy'!$D$47,IF(L5="drewno",T5*'Założenia,wskaźniki, listy'!$E$47,IF(L5="pelet",T5*'Założenia,wskaźniki, listy'!$F$47,IF(L5="olej opałowy",T5*'Założenia,wskaźniki, listy'!$G$47,IF(L5="sieć ciepłownicza",0,IF(L5="prąd",0,0)))))))</f>
        <v>7.3256400000000006E-5</v>
      </c>
      <c r="Y5" s="249">
        <f>IF(L5="węgiel",T5*'Założenia,wskaźniki, listy'!$C$48,IF(L5="gaz",T5*'Założenia,wskaźniki, listy'!$D$48,IF(L5="drewno",T5*'Założenia,wskaźniki, listy'!$E$48,IF(L5="pelet",T5*'Założenia,wskaźniki, listy'!$F$48,IF(L5="olej opałowy",T5*'Założenia,wskaźniki, listy'!$G$48,IF(L5="sieć ciepłownicza",0,IF(L5="prąd",0,0)))))))</f>
        <v>0.24418799999999999</v>
      </c>
      <c r="Z5" s="249">
        <f>IF(L5="węgiel",T5*'Założenia,wskaźniki, listy'!$C$49,IF(L5="gaz",T5*'Założenia,wskaźniki, listy'!$D$49,IF(L5="drewno",T5*'Założenia,wskaźniki, listy'!$E$49,IF(L5="pelet",T5*'Założenia,wskaźniki, listy'!$F$49,IF(L5="olej opałowy",T5*'Założenia,wskaźniki, listy'!$G$49,IF(L5="sieć ciepłownicza",0,IF(L5="prąd",0,0)))))))</f>
        <v>4.286856E-2</v>
      </c>
      <c r="AA5" s="249">
        <f>IF(L5="węgiel",T5*'Założenia,wskaźniki, listy'!$C$50,IF(L5="gaz",T5*'Założenia,wskaźniki, listy'!$D$50,IF(L5="drewno",T5*'Założenia,wskaźniki, listy'!$E$50,IF(L5="pelet",T5*'Założenia,wskaźniki, listy'!$F$50,IF(L5="olej opałowy",T5*'Założenia,wskaźniki, listy'!$G$50,IF(L5="sieć ciepłownicza",0,IF(L5="prąd",0,0)))))))</f>
        <v>0.54579347340187745</v>
      </c>
      <c r="AB5" s="249">
        <f>IF(L5="węgiel",T5*Z!$C$44,IF(L5="gaz",T5*Z!$D$44,IF(L5="drewno",T5*Z!$E$44,IF(L5="pelet",T5*Z!$F$44,IF(L5="olej opałowy",T5*Z!$G$44,IF(L5="sieć ciepłownicza",0,IF(L5="prąd",0,0)))))))</f>
        <v>5.1550800000000001E-2</v>
      </c>
      <c r="AC5" s="249">
        <f>IF(L5="węgiel",T5*Z!$C$45,IF(L5="gaz",T5*Z!$D$45,IF(L5="drewno",T5*Z!$E$45,IF(L5="pelet",T5*Z!$F$45,IF(L5="olej opałowy",T5*Z!$G$45,IF(L5="sieć ciepłownicza",0,IF(L5="prąd",0,0)))))))</f>
        <v>4.6124400000000003E-2</v>
      </c>
      <c r="AD5" s="249">
        <f>IF(L5="węgiel",T5*Z!$C$46,IF(L5="gaz",T5*Z!$D$46,IF(L5="drewno",T5*Z!$E$46,IF(L5="pelet",T5*Z!$F$46,IF(L5="olej opałowy",T5*Z!$G$46,IF(L5="sieć ciepłownicza",0,IF(L5="prąd",0,0)))))))</f>
        <v>25.433536799999995</v>
      </c>
      <c r="AE5" s="249">
        <f>IF(L5="węgiel",T5*Z!$C$47,IF(L5="gaz",T5*Z!$D$47,IF(L5="drewno",T5*Z!$E$47,IF(L5="pelet",T5*Z!$F$47,IF(L5="olej opałowy",T5*Z!$G$47,IF(L5="sieć ciepłownicza",0,IF(L5="prąd",0,0)))))))</f>
        <v>2.7131999999999997E-5</v>
      </c>
      <c r="AF5" s="249">
        <f>IF(L5="węgiel",T5*Z!$C$48,IF(L5="gaz",T5*Z!$D$48,IF(L5="drewno",T5*Z!$E$48,IF(L5="pelet",T5*Z!$F$48,IF(L5="olej opałowy",T5*Z!$G$48,IF(L5="sieć ciepłownicza",0,IF(L5="prąd",0,0)))))))</f>
        <v>0.24418799999999999</v>
      </c>
      <c r="AG5" s="249">
        <f>IF(L5="węgiel",T5*Z!$C$49,IF(L5="gaz",T5*Z!$D$49,IF(L5="drewno",T5*Z!$E$49,IF(L5="pelet",T5*Z!$F$49,IF(L5="olej opałowy",T5*Z!$G$49,IF(L5="sieć ciepłownicza",0,IF(L5="prąd",0,0)))))))</f>
        <v>4.3411200000000004E-2</v>
      </c>
      <c r="AH5" s="249">
        <f>IF(L5="węgiel",T5*Z!$C$50,IF(L5="gaz",T5*Z!$D$50,IF(L5="drewno",T5*Z!$E$50,IF(L5="pelet",T5*Z!$F$50,IF(L5="olej opałowy",T5*Z!$G$50,IF(L5="sieć ciepłownicza",0,IF(L5="prąd",0,0)))))))</f>
        <v>0.54579347340187745</v>
      </c>
      <c r="AI5" s="249">
        <f>IF(P5="węgiel",S5*'Założenia,wskaźniki, listy'!$C$44,IF(P5="gaz",S5*'Założenia,wskaźniki, listy'!$D$44,IF(P5="drewno",S5*'Założenia,wskaźniki, listy'!$E$44,IF(P5="pelet",S5*'Założenia,wskaźniki, listy'!$F$44,IF(P5="olej opałowy",S5*'Założenia,wskaźniki, listy'!$G$44,IF(P5="sieć ciepłownicza",0,IF(P5="prąd",0,0)))))))</f>
        <v>0</v>
      </c>
      <c r="AJ5" s="249">
        <f>IF(Q5="węgiel",T5*'Założenia,wskaźniki, listy'!$C$45,IF(Q5="gaz",T5*'Założenia,wskaźniki, listy'!$D$45,IF(Q5="drewno",T5*'Założenia,wskaźniki, listy'!$E$45,IF(Q5="pelet",T5*'Założenia,wskaźniki, listy'!$F$45,IF(Q5="olej opałowy",T5*'Założenia,wskaźniki, listy'!$G$45,IF(Q5="sieć ciepłownicza",0,IF(Q5="prąd",0,0)))))))</f>
        <v>0</v>
      </c>
      <c r="AK5" s="249">
        <f>IF(Q5="węgiel",T5*'Założenia,wskaźniki, listy'!$C$46,IF(Q5="gaz",T5*'Założenia,wskaźniki, listy'!$D$46,IF(Q5="drewno",T5*'Założenia,wskaźniki, listy'!$E$46,IF(Q5="pelet",T5*'Założenia,wskaźniki, listy'!$F$46,IF(Q5="olej opałowy",T5*'Założenia,wskaźniki, listy'!$G$46,IF(Q5="sieć ciepłownicza",0,IF(Q5="prąd",0,0)))))))</f>
        <v>0</v>
      </c>
      <c r="AL5" s="249">
        <f>IF(Q5="węgiel",T5*'Założenia,wskaźniki, listy'!$C$47,IF(Q5="gaz",T5*'Założenia,wskaźniki, listy'!$D$47,IF(Q5="drewno",T5*'Założenia,wskaźniki, listy'!$E$47,IF(Q5="pelet",T5*'Założenia,wskaźniki, listy'!$F$47,IF(Q5="olej opałowy",T5*'Założenia,wskaźniki, listy'!$G$47,IF(Q5="sieć ciepłownicza",0,IF(Q5="prąd",0,0)))))))</f>
        <v>0</v>
      </c>
      <c r="AM5" s="249">
        <f>IF(Q5="węgiel",T5*'Założenia,wskaźniki, listy'!$C$48,IF(Q5="gaz",T5*'Założenia,wskaźniki, listy'!$D$48,IF(Q5="drewno",T5*'Założenia,wskaźniki, listy'!$E$48,IF(Q5="pelet",T5*'Założenia,wskaźniki, listy'!$F$48,IF(Q5="olej opałowy",T5*'Założenia,wskaźniki, listy'!$G$48,IF(Q5="sieć ciepłownicza",0,IF(Q5="prąd",0,0)))))))</f>
        <v>0</v>
      </c>
      <c r="AN5" s="249">
        <f>IF(Q5="węgiel",T5*'Założenia,wskaźniki, listy'!$C$49,IF(Q5="gaz",T5*'Założenia,wskaźniki, listy'!$D$49,IF(Q5="drewno",T5*'Założenia,wskaźniki, listy'!$E$49,IF(Q5="pelet",T5*'Założenia,wskaźniki, listy'!$F$49,IF(Q5="olej opałowy",T5*'Założenia,wskaźniki, listy'!$G$49,IF(Q5="sieć ciepłownicza",0,IF(Q5="prąd",0,0)))))))</f>
        <v>0</v>
      </c>
      <c r="AO5" s="249">
        <f>IF(Q5="węgiel",T5*'Założenia,wskaźniki, listy'!$C$50,IF(Q5="gaz",T5*'Założenia,wskaźniki, listy'!$D$50,IF(Q5="drewno",T5*'Założenia,wskaźniki, listy'!$E$50,IF(Q5="pelet",T5*'Założenia,wskaźniki, listy'!$F$50,IF(Q5="olej opałowy",T5*'Założenia,wskaźniki, listy'!$G$50,IF(Q5="sieć ciepłownicza",0,IF(Q5="prąd",0,0)))))))</f>
        <v>0</v>
      </c>
      <c r="AP5" s="249">
        <f>29230/1000</f>
        <v>29.23</v>
      </c>
      <c r="AQ5" s="249">
        <v>2.5</v>
      </c>
      <c r="AR5" s="249">
        <f t="shared" ref="AR5:AR30" si="3">AI5+IF(O5&gt;=50,AB5,U5)</f>
        <v>6.1046999999999997E-2</v>
      </c>
      <c r="AS5" s="249">
        <f t="shared" ref="AS5:AS30" si="4">AJ5+IF(O5&gt;=50,AC5,V5)</f>
        <v>5.4535319999999998E-2</v>
      </c>
      <c r="AT5" s="249">
        <f>IF(P5="energia el.",(IF(O5&gt;=50,AD5,W5)+AP5*Z!$J$46),(IF(O5&gt;=50,AD5,W5)+AP5*Z!$J$46))</f>
        <v>49.738281799999996</v>
      </c>
      <c r="AU5" s="249">
        <f t="shared" ref="AU5:AU30" si="5">AL5+IF(O5&gt;=50,AE5,X5)</f>
        <v>7.3256400000000006E-5</v>
      </c>
      <c r="AV5" s="249">
        <f t="shared" ref="AV5:AV30" si="6">AM5+IF(O5&gt;=50,AF5,Y5)</f>
        <v>0.24418799999999999</v>
      </c>
      <c r="AW5" s="249">
        <f t="shared" ref="AW5:AW30" si="7">AN5+IF(O5&gt;=50,AG5,Z5)</f>
        <v>4.286856E-2</v>
      </c>
      <c r="AX5" s="249">
        <f t="shared" ref="AX5:AX30" si="8">AO5+IF(O5&gt;=50,AH5,AA5)</f>
        <v>0.54579347340187745</v>
      </c>
      <c r="AY5" s="304" t="s">
        <v>88</v>
      </c>
      <c r="AZ5" s="305"/>
      <c r="BA5" s="573"/>
      <c r="BB5" s="305"/>
      <c r="BC5" s="305"/>
      <c r="BD5" s="305"/>
      <c r="BE5" s="305"/>
      <c r="BF5" s="305"/>
      <c r="BG5" s="305"/>
      <c r="BH5" s="305"/>
      <c r="BI5" s="308">
        <f t="shared" ref="BI5:BI30" si="9">IF(O5&lt;50,T5)</f>
        <v>271.32</v>
      </c>
      <c r="BJ5" s="308" t="b">
        <f t="shared" ref="BJ5:BJ30" si="10">IF(O5&gt;=50,T5)</f>
        <v>0</v>
      </c>
      <c r="BK5" s="319" t="b">
        <f t="shared" ref="BK5:BK30" si="11">IF(F5&lt;=1966,G5)</f>
        <v>0</v>
      </c>
      <c r="BL5" s="319">
        <f t="shared" ref="BL5:BL30" si="12">IF(K5="kompletna",BK5,IF(K5="częściowa",0.5*BK5))</f>
        <v>0</v>
      </c>
      <c r="BM5" s="319">
        <f t="shared" ref="BM5:BM30" si="13">IF(F5&gt;1966,IF(F5&lt;=1985,G5))</f>
        <v>123.38</v>
      </c>
      <c r="BN5" s="319">
        <f t="shared" ref="BN5:BN30" si="14">IF(K5="kompletna",BM5,IF(K5="częściowa",0.5*BM5))</f>
        <v>61.69</v>
      </c>
      <c r="BO5" s="319" t="b">
        <f t="shared" ref="BO5:BO30" si="15">IF(F5&gt;1985,IF(F5&lt;=1992,G5))</f>
        <v>0</v>
      </c>
      <c r="BP5" s="319">
        <f t="shared" ref="BP5:BP30" si="16">IF(K5="kompletna",BO5,IF(K5="częściowa",0.5*BO5))</f>
        <v>0</v>
      </c>
      <c r="BQ5" s="319" t="b">
        <f t="shared" ref="BQ5:BQ30" si="17">IF(F5&gt;1992,IF(F5&lt;=1996,G5))</f>
        <v>0</v>
      </c>
      <c r="BR5" s="319">
        <f t="shared" ref="BR5:BR30" si="18">IF(K5="kompletna",BQ5,IF(K5="częściowa",0.5*BQ5))</f>
        <v>0</v>
      </c>
      <c r="BS5" s="319" t="b">
        <f t="shared" ref="BS5:BS30" si="19">IF(F5&gt;1996,IF(F5&lt;=2014,G5))</f>
        <v>0</v>
      </c>
      <c r="BT5" s="319">
        <f t="shared" ref="BT5:BT30" si="20">IF(K5="kompletna",BS5,IF(K5="częściowa",0.5*BS5))</f>
        <v>0</v>
      </c>
      <c r="BU5" s="319">
        <f t="shared" ref="BU5:BU30" si="21">IF(L5="węgiel",T5)</f>
        <v>271.32</v>
      </c>
      <c r="BV5" s="319" t="b">
        <f t="shared" ref="BV5:BV30" si="22">IF(L5="gaz",Q5)</f>
        <v>0</v>
      </c>
      <c r="BW5" s="319" t="b">
        <f t="shared" ref="BW5:BW30" si="23">IF(L5="drewno",T5)</f>
        <v>0</v>
      </c>
      <c r="BX5" s="319" t="b">
        <f t="shared" ref="BX5:BX30" si="24">IF(L5="pelet",T5)</f>
        <v>0</v>
      </c>
      <c r="BY5" s="319" t="b">
        <f t="shared" ref="BY5:BY30" si="25">IF(L5="olej opałowy",T5)</f>
        <v>0</v>
      </c>
      <c r="BZ5" s="319" t="b">
        <f t="shared" ref="BZ5:BZ30" si="26">IF(L5="energia el.",Q5)</f>
        <v>0</v>
      </c>
      <c r="CA5" s="319" t="b">
        <f t="shared" ref="CA5:CA30" si="27">IF(P5="węgiel",S5)</f>
        <v>0</v>
      </c>
      <c r="CB5" s="319" t="b">
        <f t="shared" ref="CB5:CB30" si="28">IF(P5="gaz",S5)</f>
        <v>0</v>
      </c>
      <c r="CC5" s="319" t="b">
        <f t="shared" ref="CC5:CC30" si="29">IF(P5="drewno",S5)</f>
        <v>0</v>
      </c>
      <c r="CD5" s="319" t="b">
        <f t="shared" ref="CD5:CD30" si="30">IF(P5="pelet",S5)</f>
        <v>0</v>
      </c>
      <c r="CE5" s="319" t="b">
        <f t="shared" ref="CE5:CE30" si="31">IF(P5="olej opałowy",S5)</f>
        <v>0</v>
      </c>
      <c r="CF5" s="319">
        <f t="shared" ref="CF5:CF30" si="32">IF(P5="energia el.",S5)</f>
        <v>12.078041625000001</v>
      </c>
    </row>
    <row r="6" spans="1:84" ht="13.2">
      <c r="A6" s="870">
        <v>2</v>
      </c>
      <c r="B6" s="566">
        <f>SUM($C$5:C6)</f>
        <v>2</v>
      </c>
      <c r="C6" s="503">
        <f t="shared" ref="C6" si="33">IF(ISTEXT(D6),1)</f>
        <v>1</v>
      </c>
      <c r="D6" s="857" t="s">
        <v>572</v>
      </c>
      <c r="E6" s="857" t="s">
        <v>595</v>
      </c>
      <c r="F6" s="866">
        <v>1975</v>
      </c>
      <c r="G6" s="848">
        <v>133.88</v>
      </c>
      <c r="H6" s="88">
        <v>15</v>
      </c>
      <c r="I6" s="88"/>
      <c r="J6" s="88">
        <f>IF(F6&lt;=1966,'Założenia,wskaźniki, listy'!$H$4,IF(F6&gt;1966,IF(F6&lt;=1985,'Założenia,wskaźniki, listy'!$H$5,IF(F6&gt;1985,IF(F6&lt;=1992,'Założenia,wskaźniki, listy'!$H$6,IF(F6&gt;1992,IF(F6&lt;=1996,'Założenia,wskaźniki, listy'!$H$7,IF(F6&gt;1996,IF(F6&lt;=2013,'Założenia,wskaźniki, listy'!$H$8)))))))))</f>
        <v>250</v>
      </c>
      <c r="K6" s="864" t="s">
        <v>33</v>
      </c>
      <c r="L6" s="88" t="s">
        <v>8</v>
      </c>
      <c r="M6" s="88"/>
      <c r="N6" s="567"/>
      <c r="O6" s="567"/>
      <c r="P6" s="88"/>
      <c r="Q6" s="480">
        <f t="shared" si="2"/>
        <v>99.413110406249984</v>
      </c>
      <c r="R6" s="249">
        <f>IF(K6="kompletna",J6*G6*0.0036*'Założenia,wskaźniki, listy'!$C$15,IF(K6="częściowa",J6*G6*0.0036*'Założenia,wskaźniki, listy'!$C$16,IF(K6="brak",J6*G6*0.0036*'Założenia,wskaźniki, listy'!$C$17,0)))</f>
        <v>96.393599999999992</v>
      </c>
      <c r="S6" s="249">
        <f>H6*'Założenia,wskaźniki, listy'!$L$16</f>
        <v>6.0390208125000004</v>
      </c>
      <c r="T6" s="249">
        <f>R6</f>
        <v>96.393599999999992</v>
      </c>
      <c r="U6" s="568">
        <f>IF(L6="węgiel",T6*'Założenia,wskaźniki, listy'!$C$44,IF(L6="gaz",T6*'Założenia,wskaźniki, listy'!$D$44,IF(L6="drewno",T6*'Założenia,wskaźniki, listy'!$E$44,IF(L6="pelet",T6*'Założenia,wskaźniki, listy'!$F$44,IF(L6="olej opałowy",T6*'Założenia,wskaźniki, listy'!$G$44,IF(L6="sieć ciepłownicza",0,IF(L6="prąd",0,0)))))))</f>
        <v>2.1688559999999999E-2</v>
      </c>
      <c r="V6" s="568">
        <f>IF(L6="węgiel",T6*'Założenia,wskaźniki, listy'!$C$45,IF(L6="gaz",T6*'Założenia,wskaźniki, listy'!$D$45,IF(L6="drewno",T6*'Założenia,wskaźniki, listy'!$E$45,IF(L6="pelet",T6*'Założenia,wskaźniki, listy'!$F$45,IF(L6="olej opałowy",T6*'Założenia,wskaźniki, listy'!$G$45,IF(L6="sieć ciepłownicza",0,IF(L6="prąd",0,0)))))))</f>
        <v>1.93751136E-2</v>
      </c>
      <c r="W6" s="568">
        <f>IF(L6="węgiel",T6*'Założenia,wskaźniki, listy'!$C$46,IF(L6="gaz",T6*'Założenia,wskaźniki, listy'!$D$46,IF(L6="drewno",T6*'Założenia,wskaźniki, listy'!$E$46,IF(L6="pelet",T6*'Założenia,wskaźniki, listy'!$F$46,IF(L6="olej opałowy",T6*'Założenia,wskaźniki, listy'!$G$46,IF(L6="sieć ciepłownicza",0,IF(L6="prąd",0,0)))))))</f>
        <v>9.0359360639999977</v>
      </c>
      <c r="X6" s="568">
        <f>IF(L6="węgiel",T6*'Założenia,wskaźniki, listy'!$C$47,IF(L6="gaz",T6*'Założenia,wskaźniki, listy'!$D$47,IF(L6="drewno",T6*'Założenia,wskaźniki, listy'!$E$47,IF(L6="pelet",T6*'Założenia,wskaźniki, listy'!$F$47,IF(L6="olej opałowy",T6*'Założenia,wskaźniki, listy'!$G$47,IF(L6="sieć ciepłownicza",0,IF(L6="prąd",0,0)))))))</f>
        <v>2.6026271999999999E-5</v>
      </c>
      <c r="Y6" s="568">
        <f>IF(L6="węgiel",T6*'Założenia,wskaźniki, listy'!$C$48,IF(L6="gaz",T6*'Założenia,wskaźniki, listy'!$D$48,IF(L6="drewno",T6*'Założenia,wskaźniki, listy'!$E$48,IF(L6="pelet",T6*'Założenia,wskaźniki, listy'!$F$48,IF(L6="olej opałowy",T6*'Założenia,wskaźniki, listy'!$G$48,IF(L6="sieć ciepłownicza",0,IF(L6="prąd",0,0)))))))</f>
        <v>8.6754239999999996E-2</v>
      </c>
      <c r="Z6" s="568">
        <f>IF(L6="węgiel",T6*'Założenia,wskaźniki, listy'!$C$49,IF(L6="gaz",T6*'Założenia,wskaźniki, listy'!$D$49,IF(L6="drewno",T6*'Założenia,wskaźniki, listy'!$E$49,IF(L6="pelet",T6*'Założenia,wskaźniki, listy'!$F$49,IF(L6="olej opałowy",T6*'Założenia,wskaźniki, listy'!$G$49,IF(L6="sieć ciepłownicza",0,IF(L6="prąd",0,0)))))))</f>
        <v>1.5230188799999997E-2</v>
      </c>
      <c r="AA6" s="568">
        <f>IF(L6="węgiel",T6*'Założenia,wskaźniki, listy'!$C$50,IF(L6="gaz",T6*'Założenia,wskaźniki, listy'!$D$50,IF(L6="drewno",T6*'Założenia,wskaźniki, listy'!$E$50,IF(L6="pelet",T6*'Założenia,wskaźniki, listy'!$F$50,IF(L6="olej opałowy",T6*'Założenia,wskaźniki, listy'!$G$50,IF(L6="sieć ciepłownicza",0,IF(L6="prąd",0,0)))))))</f>
        <v>0.19390755476084037</v>
      </c>
      <c r="AB6" s="568">
        <f>IF(L6="węgiel",T6*Z!$C$44,IF(L6="gaz",T6*Z!$D$44,IF(L6="drewno",T6*Z!$E$44,IF(L6="pelet",T6*Z!$F$44,IF(L6="olej opałowy",T6*Z!$G$44,IF(L6="sieć ciepłownicza",0,IF(L6="prąd",0,0)))))))</f>
        <v>1.8314784000000001E-2</v>
      </c>
      <c r="AC6" s="568">
        <f>IF(L6="węgiel",T6*Z!$C$45,IF(L6="gaz",T6*Z!$D$45,IF(L6="drewno",T6*Z!$E$45,IF(L6="pelet",T6*Z!$F$45,IF(L6="olej opałowy",T6*Z!$G$45,IF(L6="sieć ciepłownicza",0,IF(L6="prąd",0,0)))))))</f>
        <v>1.6386912E-2</v>
      </c>
      <c r="AD6" s="568">
        <f>IF(L6="węgiel",T6*Z!$C$46,IF(L6="gaz",T6*Z!$D$46,IF(L6="drewno",T6*Z!$E$46,IF(L6="pelet",T6*Z!$F$46,IF(L6="olej opałowy",T6*Z!$G$46,IF(L6="sieć ciepłownicza",0,IF(L6="prąd",0,0)))))))</f>
        <v>9.0359360639999977</v>
      </c>
      <c r="AE6" s="568">
        <f>IF(L6="węgiel",T6*Z!$C$47,IF(L6="gaz",T6*Z!$D$47,IF(L6="drewno",T6*Z!$E$47,IF(L6="pelet",T6*Z!$F$47,IF(L6="olej opałowy",T6*Z!$G$47,IF(L6="sieć ciepłownicza",0,IF(L6="prąd",0,0)))))))</f>
        <v>9.6393599999999985E-6</v>
      </c>
      <c r="AF6" s="568">
        <f>IF(L6="węgiel",T6*Z!$C$48,IF(L6="gaz",T6*Z!$D$48,IF(L6="drewno",T6*Z!$E$48,IF(L6="pelet",T6*Z!$F$48,IF(L6="olej opałowy",T6*Z!$G$48,IF(L6="sieć ciepłownicza",0,IF(L6="prąd",0,0)))))))</f>
        <v>8.6754239999999996E-2</v>
      </c>
      <c r="AG6" s="568">
        <f>IF(L6="węgiel",T6*Z!$C$49,IF(L6="gaz",T6*Z!$D$49,IF(L6="drewno",T6*Z!$E$49,IF(L6="pelet",T6*Z!$F$49,IF(L6="olej opałowy",T6*Z!$G$49,IF(L6="sieć ciepłownicza",0,IF(L6="prąd",0,0)))))))</f>
        <v>1.5422976E-2</v>
      </c>
      <c r="AH6" s="568">
        <f>IF(L6="węgiel",T6*Z!$C$50,IF(L6="gaz",T6*Z!$D$50,IF(L6="drewno",T6*Z!$E$50,IF(L6="pelet",T6*Z!$F$50,IF(L6="olej opałowy",T6*Z!$G$50,IF(L6="sieć ciepłownicza",0,IF(L6="prąd",0,0)))))))</f>
        <v>0.19390755476084037</v>
      </c>
      <c r="AI6" s="568">
        <f>IF(P6="węgiel",S6*'Założenia,wskaźniki, listy'!$C$44,IF(P6="gaz",S6*'Założenia,wskaźniki, listy'!$D$44,IF(P6="drewno",S6*'Założenia,wskaźniki, listy'!$E$44,IF(P6="pelet",S6*'Założenia,wskaźniki, listy'!$F$44,IF(P6="olej opałowy",S6*'Założenia,wskaźniki, listy'!$G$44,IF(P6="sieć ciepłownicza",0,IF(P6="prąd",0,0)))))))</f>
        <v>0</v>
      </c>
      <c r="AJ6" s="568">
        <f>IF(Q6="węgiel",T6*'Założenia,wskaźniki, listy'!$C$45,IF(Q6="gaz",T6*'Założenia,wskaźniki, listy'!$D$45,IF(Q6="drewno",T6*'Założenia,wskaźniki, listy'!$E$45,IF(Q6="pelet",T6*'Założenia,wskaźniki, listy'!$F$45,IF(Q6="olej opałowy",T6*'Założenia,wskaźniki, listy'!$G$45,IF(Q6="sieć ciepłownicza",0,IF(Q6="prąd",0,0)))))))</f>
        <v>0</v>
      </c>
      <c r="AK6" s="568">
        <f>IF(Q6="węgiel",T6*'Założenia,wskaźniki, listy'!$C$46,IF(Q6="gaz",T6*'Założenia,wskaźniki, listy'!$D$46,IF(Q6="drewno",T6*'Założenia,wskaźniki, listy'!$E$46,IF(Q6="pelet",T6*'Założenia,wskaźniki, listy'!$F$46,IF(Q6="olej opałowy",T6*'Założenia,wskaźniki, listy'!$G$46,IF(Q6="sieć ciepłownicza",0,IF(Q6="prąd",0,0)))))))</f>
        <v>0</v>
      </c>
      <c r="AL6" s="568">
        <f>IF(Q6="węgiel",T6*'Założenia,wskaźniki, listy'!$C$47,IF(Q6="gaz",T6*'Założenia,wskaźniki, listy'!$D$47,IF(Q6="drewno",T6*'Założenia,wskaźniki, listy'!$E$47,IF(Q6="pelet",T6*'Założenia,wskaźniki, listy'!$F$47,IF(Q6="olej opałowy",T6*'Założenia,wskaźniki, listy'!$G$47,IF(Q6="sieć ciepłownicza",0,IF(Q6="prąd",0,0)))))))</f>
        <v>0</v>
      </c>
      <c r="AM6" s="568">
        <f>IF(Q6="węgiel",T6*'Założenia,wskaźniki, listy'!$C$48,IF(Q6="gaz",T6*'Założenia,wskaźniki, listy'!$D$48,IF(Q6="drewno",T6*'Założenia,wskaźniki, listy'!$E$48,IF(Q6="pelet",T6*'Założenia,wskaźniki, listy'!$F$48,IF(Q6="olej opałowy",T6*'Założenia,wskaźniki, listy'!$G$48,IF(Q6="sieć ciepłownicza",0,IF(Q6="prąd",0,0)))))))</f>
        <v>0</v>
      </c>
      <c r="AN6" s="568">
        <f>IF(Q6="węgiel",T6*'Założenia,wskaźniki, listy'!$C$49,IF(Q6="gaz",T6*'Założenia,wskaźniki, listy'!$D$49,IF(Q6="drewno",T6*'Założenia,wskaźniki, listy'!$E$49,IF(Q6="pelet",T6*'Założenia,wskaźniki, listy'!$F$49,IF(Q6="olej opałowy",T6*'Założenia,wskaźniki, listy'!$G$49,IF(Q6="sieć ciepłownicza",0,IF(Q6="prąd",0,0)))))))</f>
        <v>0</v>
      </c>
      <c r="AO6" s="568">
        <f>IF(Q6="węgiel",T6*'Założenia,wskaźniki, listy'!$C$50,IF(Q6="gaz",T6*'Założenia,wskaźniki, listy'!$D$50,IF(Q6="drewno",T6*'Założenia,wskaźniki, listy'!$E$50,IF(Q6="pelet",T6*'Założenia,wskaźniki, listy'!$F$50,IF(Q6="olej opałowy",T6*'Założenia,wskaźniki, listy'!$G$50,IF(Q6="sieć ciepłownicza",0,IF(Q6="prąd",0,0)))))))</f>
        <v>0</v>
      </c>
      <c r="AP6" s="580">
        <v>8.0399999999999991</v>
      </c>
      <c r="AQ6" s="580">
        <v>4</v>
      </c>
      <c r="AR6" s="594">
        <f t="shared" si="3"/>
        <v>2.1688559999999999E-2</v>
      </c>
      <c r="AS6" s="594">
        <f t="shared" si="4"/>
        <v>1.93751136E-2</v>
      </c>
      <c r="AT6" s="568">
        <f>IF(P6="energia el.",(IF(O6&gt;=50,AD6,W6)+AP6*Z!$J$46),(IF(O6&gt;=50,AD6,W6)+AP6*Z!$J$46))</f>
        <v>15.721196063999997</v>
      </c>
      <c r="AU6" s="568">
        <f t="shared" si="5"/>
        <v>2.6026271999999999E-5</v>
      </c>
      <c r="AV6" s="568">
        <f t="shared" si="6"/>
        <v>8.6754239999999996E-2</v>
      </c>
      <c r="AW6" s="568">
        <f t="shared" si="7"/>
        <v>1.5230188799999997E-2</v>
      </c>
      <c r="AX6" s="568">
        <f t="shared" si="8"/>
        <v>0.19390755476084037</v>
      </c>
      <c r="AY6" s="88" t="s">
        <v>88</v>
      </c>
      <c r="AZ6" s="567"/>
      <c r="BA6" s="564"/>
      <c r="BB6" s="567"/>
      <c r="BC6" s="567"/>
      <c r="BD6" s="567"/>
      <c r="BE6" s="567"/>
      <c r="BF6" s="567"/>
      <c r="BG6" s="567"/>
      <c r="BH6" s="567"/>
      <c r="BI6" s="308">
        <f t="shared" si="9"/>
        <v>96.393599999999992</v>
      </c>
      <c r="BJ6" s="308" t="b">
        <f t="shared" si="10"/>
        <v>0</v>
      </c>
      <c r="BK6" s="319" t="b">
        <f t="shared" si="11"/>
        <v>0</v>
      </c>
      <c r="BL6" s="319">
        <f t="shared" si="12"/>
        <v>0</v>
      </c>
      <c r="BM6" s="319">
        <f t="shared" si="13"/>
        <v>133.88</v>
      </c>
      <c r="BN6" s="319">
        <f t="shared" si="14"/>
        <v>66.94</v>
      </c>
      <c r="BO6" s="319" t="b">
        <f t="shared" si="15"/>
        <v>0</v>
      </c>
      <c r="BP6" s="319">
        <f t="shared" si="16"/>
        <v>0</v>
      </c>
      <c r="BQ6" s="319" t="b">
        <f t="shared" si="17"/>
        <v>0</v>
      </c>
      <c r="BR6" s="319">
        <f t="shared" si="18"/>
        <v>0</v>
      </c>
      <c r="BS6" s="319" t="b">
        <f t="shared" si="19"/>
        <v>0</v>
      </c>
      <c r="BT6" s="319">
        <f t="shared" si="20"/>
        <v>0</v>
      </c>
      <c r="BU6" s="319">
        <f t="shared" si="21"/>
        <v>96.393599999999992</v>
      </c>
      <c r="BV6" s="319" t="b">
        <f t="shared" si="22"/>
        <v>0</v>
      </c>
      <c r="BW6" s="319" t="b">
        <f t="shared" si="23"/>
        <v>0</v>
      </c>
      <c r="BX6" s="319" t="b">
        <f t="shared" si="24"/>
        <v>0</v>
      </c>
      <c r="BY6" s="319" t="b">
        <f t="shared" si="25"/>
        <v>0</v>
      </c>
      <c r="BZ6" s="319" t="b">
        <f t="shared" si="26"/>
        <v>0</v>
      </c>
      <c r="CA6" s="319" t="b">
        <f t="shared" si="27"/>
        <v>0</v>
      </c>
      <c r="CB6" s="319" t="b">
        <f t="shared" si="28"/>
        <v>0</v>
      </c>
      <c r="CC6" s="319" t="b">
        <f t="shared" si="29"/>
        <v>0</v>
      </c>
      <c r="CD6" s="319" t="b">
        <f t="shared" si="30"/>
        <v>0</v>
      </c>
      <c r="CE6" s="319" t="b">
        <f t="shared" si="31"/>
        <v>0</v>
      </c>
      <c r="CF6" s="319" t="b">
        <f t="shared" si="32"/>
        <v>0</v>
      </c>
    </row>
    <row r="7" spans="1:84" ht="13.2">
      <c r="A7" s="881">
        <v>3</v>
      </c>
      <c r="B7" s="566"/>
      <c r="C7" s="503">
        <f t="shared" ref="C7" si="34">IF(ISTEXT(D7),1)</f>
        <v>1</v>
      </c>
      <c r="D7" s="880" t="s">
        <v>573</v>
      </c>
      <c r="E7" s="857" t="s">
        <v>596</v>
      </c>
      <c r="F7" s="858">
        <v>1935</v>
      </c>
      <c r="G7" s="848">
        <v>300</v>
      </c>
      <c r="H7" s="88">
        <v>5</v>
      </c>
      <c r="I7" s="88"/>
      <c r="J7" s="88">
        <f>IF(F7&lt;=1966,'Założenia,wskaźniki, listy'!$H$4,IF(F7&gt;1966,IF(F7&lt;=1985,'Założenia,wskaźniki, listy'!$H$5,IF(F7&gt;1985,IF(F7&lt;=1992,'Założenia,wskaźniki, listy'!$H$6,IF(F7&gt;1992,IF(F7&lt;=1996,'Założenia,wskaźniki, listy'!$H$7,IF(F7&gt;1996,IF(F7&lt;=2013,'Założenia,wskaźniki, listy'!$H$8)))))))))</f>
        <v>290</v>
      </c>
      <c r="K7" s="864" t="s">
        <v>33</v>
      </c>
      <c r="L7" s="88" t="s">
        <v>79</v>
      </c>
      <c r="M7" s="455">
        <v>2</v>
      </c>
      <c r="N7" s="595">
        <v>2008</v>
      </c>
      <c r="O7" s="567"/>
      <c r="P7" s="88" t="s">
        <v>313</v>
      </c>
      <c r="Q7" s="480">
        <f t="shared" si="2"/>
        <v>141.28650346875</v>
      </c>
      <c r="R7" s="249">
        <f>IF(K7="kompletna",J7*G7*0.0036*'Założenia,wskaźniki, listy'!$C$15,IF(K7="częściowa",J7*G7*0.0036*'Założenia,wskaźniki, listy'!$C$16,IF(K7="brak",J7*G7*0.0036*'Założenia,wskaźniki, listy'!$C$17,0)))</f>
        <v>250.56</v>
      </c>
      <c r="S7" s="249">
        <f>H7*'Założenia,wskaźniki, listy'!$L$16</f>
        <v>2.0130069375000001</v>
      </c>
      <c r="T7" s="249">
        <f>IF(L7="węgiel",M7*'Założenia,wskaźniki, listy'!$B$4,IF(L7="gaz",M7*'Założenia,wskaźniki, listy'!$B$5,IF(L7="drewno",M7*'Założenia,wskaźniki, listy'!$B$6,IF(L7="pelet",M7*'Założenia,wskaźniki, listy'!$B$7,IF(L7="olej opałowy",M7*'Założenia,wskaźniki, listy'!$B$8,IF(L7="sieć ciepłownicza",0,0))))))</f>
        <v>30</v>
      </c>
      <c r="U7" s="568">
        <f>IF(L7="węgiel",T7*'Założenia,wskaźniki, listy'!$C$44,IF(L7="gaz",T7*'Założenia,wskaźniki, listy'!$D$44,IF(L7="drewno",T7*'Założenia,wskaźniki, listy'!$E$44,IF(L7="pelet",T7*'Założenia,wskaźniki, listy'!$F$44,IF(L7="olej opałowy",T7*'Założenia,wskaźniki, listy'!$G$44,IF(L7="sieć ciepłownicza",0,IF(L7="prąd",0,0)))))))</f>
        <v>1.44E-2</v>
      </c>
      <c r="V7" s="568">
        <f>IF(L7="węgiel",T7*'Założenia,wskaźniki, listy'!$C$45,IF(L7="gaz",T7*'Założenia,wskaźniki, listy'!$D$45,IF(L7="drewno",T7*'Założenia,wskaźniki, listy'!$E$45,IF(L7="pelet",T7*'Założenia,wskaźniki, listy'!$F$45,IF(L7="olej opałowy",T7*'Założenia,wskaźniki, listy'!$G$45,IF(L7="sieć ciepłownicza",0,IF(L7="prąd",0,0)))))))</f>
        <v>1.41E-2</v>
      </c>
      <c r="W7" s="568">
        <f>IF(L7="węgiel",T7*'Założenia,wskaźniki, listy'!$C$46,IF(L7="gaz",T7*'Założenia,wskaźniki, listy'!$D$46,IF(L7="drewno",T7*'Założenia,wskaźniki, listy'!$E$46,IF(L7="pelet",T7*'Założenia,wskaźniki, listy'!$F$46,IF(L7="olej opałowy",T7*'Założenia,wskaźniki, listy'!$G$46,IF(L7="sieć ciepłownicza",0,IF(L7="prąd",0,0)))))))</f>
        <v>0</v>
      </c>
      <c r="X7" s="568">
        <f>IF(L7="węgiel",T7*'Założenia,wskaźniki, listy'!$C$47,IF(L7="gaz",T7*'Założenia,wskaźniki, listy'!$D$47,IF(L7="drewno",T7*'Założenia,wskaźniki, listy'!$E$47,IF(L7="pelet",T7*'Założenia,wskaźniki, listy'!$F$47,IF(L7="olej opałowy",T7*'Założenia,wskaźniki, listy'!$G$47,IF(L7="sieć ciepłownicza",0,IF(L7="prąd",0,0)))))))</f>
        <v>3.6300000000000004E-6</v>
      </c>
      <c r="Y7" s="568">
        <f>IF(L7="węgiel",T7*'Założenia,wskaźniki, listy'!$C$48,IF(L7="gaz",T7*'Założenia,wskaźniki, listy'!$D$48,IF(L7="drewno",T7*'Założenia,wskaźniki, listy'!$E$48,IF(L7="pelet",T7*'Założenia,wskaźniki, listy'!$F$48,IF(L7="olej opałowy",T7*'Założenia,wskaźniki, listy'!$G$48,IF(L7="sieć ciepłownicza",0,IF(L7="prąd",0,0)))))))</f>
        <v>3.3E-4</v>
      </c>
      <c r="Z7" s="568">
        <f>IF(L7="węgiel",T7*'Założenia,wskaźniki, listy'!$C$49,IF(L7="gaz",T7*'Założenia,wskaźniki, listy'!$D$49,IF(L7="drewno",T7*'Założenia,wskaźniki, listy'!$E$49,IF(L7="pelet",T7*'Założenia,wskaźniki, listy'!$F$49,IF(L7="olej opałowy",T7*'Założenia,wskaźniki, listy'!$G$49,IF(L7="sieć ciepłownicza",0,IF(L7="prąd",0,0)))))))</f>
        <v>2.4000000000000002E-3</v>
      </c>
      <c r="AA7" s="568">
        <f>IF(L7="węgiel",T7*'Założenia,wskaźniki, listy'!$C$50,IF(L7="gaz",T7*'Założenia,wskaźniki, listy'!$D$50,IF(L7="drewno",T7*'Założenia,wskaźniki, listy'!$E$50,IF(L7="pelet",T7*'Założenia,wskaźniki, listy'!$F$50,IF(L7="olej opałowy",T7*'Założenia,wskaźniki, listy'!$G$50,IF(L7="sieć ciepłownicza",0,IF(L7="prąd",0,0)))))))</f>
        <v>5.3819999999999996E-3</v>
      </c>
      <c r="AB7" s="568">
        <f>IF(L7="węgiel",T7*Z!$C$44,IF(L7="gaz",T7*Z!$D$44,IF(L7="drewno",T7*Z!$E$44,IF(L7="pelet",T7*Z!$F$44,IF(L7="olej opałowy",T7*Z!$G$44,IF(L7="sieć ciepłownicza",0,IF(L7="prąd",0,0)))))))</f>
        <v>2.2799999999999999E-3</v>
      </c>
      <c r="AC7" s="568">
        <f>IF(L7="węgiel",T7*Z!$C$45,IF(L7="gaz",T7*Z!$D$45,IF(L7="drewno",T7*Z!$E$45,IF(L7="pelet",T7*Z!$F$45,IF(L7="olej opałowy",T7*Z!$G$45,IF(L7="sieć ciepłownicza",0,IF(L7="prąd",0,0)))))))</f>
        <v>2.2799999999999999E-3</v>
      </c>
      <c r="AD7" s="568">
        <f>IF(L7="węgiel",T7*Z!$C$46,IF(L7="gaz",T7*Z!$D$46,IF(L7="drewno",T7*Z!$E$46,IF(L7="pelet",T7*Z!$F$46,IF(L7="olej opałowy",T7*Z!$G$46,IF(L7="sieć ciepłownicza",0,IF(L7="prąd",0,0)))))))</f>
        <v>0</v>
      </c>
      <c r="AE7" s="568">
        <f>IF(L7="węgiel",T7*Z!$C$47,IF(L7="gaz",T7*Z!$D$47,IF(L7="drewno",T7*Z!$E$47,IF(L7="pelet",T7*Z!$F$47,IF(L7="olej opałowy",T7*Z!$G$47,IF(L7="sieć ciepłownicza",0,IF(L7="prąd",0,0)))))))</f>
        <v>1.5E-6</v>
      </c>
      <c r="AF7" s="568">
        <f>IF(L7="węgiel",T7*Z!$C$48,IF(L7="gaz",T7*Z!$D$48,IF(L7="drewno",T7*Z!$E$48,IF(L7="pelet",T7*Z!$F$48,IF(L7="olej opałowy",T7*Z!$G$48,IF(L7="sieć ciepłownicza",0,IF(L7="prąd",0,0)))))))</f>
        <v>6.0000000000000006E-4</v>
      </c>
      <c r="AG7" s="568">
        <f>IF(L7="węgiel",T7*Z!$C$49,IF(L7="gaz",T7*Z!$D$49,IF(L7="drewno",T7*Z!$E$49,IF(L7="pelet",T7*Z!$F$49,IF(L7="olej opałowy",T7*Z!$G$49,IF(L7="sieć ciepłownicza",0,IF(L7="prąd",0,0)))))))</f>
        <v>6.0000000000000006E-4</v>
      </c>
      <c r="AH7" s="568">
        <f>IF(L7="węgiel",T7*Z!$C$50,IF(L7="gaz",T7*Z!$D$50,IF(L7="drewno",T7*Z!$E$50,IF(L7="pelet",T7*Z!$F$50,IF(L7="olej opałowy",T7*Z!$G$50,IF(L7="sieć ciepłownicza",0,IF(L7="prąd",0,0)))))))</f>
        <v>5.3819999999999996E-3</v>
      </c>
      <c r="AI7" s="568">
        <f>IF(P7="węgiel",S7*'Założenia,wskaźniki, listy'!$C$44,IF(P7="gaz",S7*'Założenia,wskaźniki, listy'!$D$44,IF(P7="drewno",S7*'Założenia,wskaźniki, listy'!$E$44,IF(P7="pelet",S7*'Założenia,wskaźniki, listy'!$F$44,IF(P7="olej opałowy",S7*'Założenia,wskaźniki, listy'!$G$44,IF(P7="sieć ciepłownicza",0,IF(P7="prąd",0,0)))))))</f>
        <v>0</v>
      </c>
      <c r="AJ7" s="568">
        <f>IF(Q7="węgiel",T7*'Założenia,wskaźniki, listy'!$C$45,IF(Q7="gaz",T7*'Założenia,wskaźniki, listy'!$D$45,IF(Q7="drewno",T7*'Założenia,wskaźniki, listy'!$E$45,IF(Q7="pelet",T7*'Założenia,wskaźniki, listy'!$F$45,IF(Q7="olej opałowy",T7*'Założenia,wskaźniki, listy'!$G$45,IF(Q7="sieć ciepłownicza",0,IF(Q7="prąd",0,0)))))))</f>
        <v>0</v>
      </c>
      <c r="AK7" s="568">
        <f>IF(Q7="węgiel",T7*'Założenia,wskaźniki, listy'!$C$46,IF(Q7="gaz",T7*'Założenia,wskaźniki, listy'!$D$46,IF(Q7="drewno",T7*'Założenia,wskaźniki, listy'!$E$46,IF(Q7="pelet",T7*'Założenia,wskaźniki, listy'!$F$46,IF(Q7="olej opałowy",T7*'Założenia,wskaźniki, listy'!$G$46,IF(Q7="sieć ciepłownicza",0,IF(Q7="prąd",0,0)))))))</f>
        <v>0</v>
      </c>
      <c r="AL7" s="568">
        <f>IF(Q7="węgiel",T7*'Założenia,wskaźniki, listy'!$C$47,IF(Q7="gaz",T7*'Założenia,wskaźniki, listy'!$D$47,IF(Q7="drewno",T7*'Założenia,wskaźniki, listy'!$E$47,IF(Q7="pelet",T7*'Założenia,wskaźniki, listy'!$F$47,IF(Q7="olej opałowy",T7*'Założenia,wskaźniki, listy'!$G$47,IF(Q7="sieć ciepłownicza",0,IF(Q7="prąd",0,0)))))))</f>
        <v>0</v>
      </c>
      <c r="AM7" s="568">
        <f>IF(Q7="węgiel",T7*'Założenia,wskaźniki, listy'!$C$48,IF(Q7="gaz",T7*'Założenia,wskaźniki, listy'!$D$48,IF(Q7="drewno",T7*'Założenia,wskaźniki, listy'!$E$48,IF(Q7="pelet",T7*'Założenia,wskaźniki, listy'!$F$48,IF(Q7="olej opałowy",T7*'Założenia,wskaźniki, listy'!$G$48,IF(Q7="sieć ciepłownicza",0,IF(Q7="prąd",0,0)))))))</f>
        <v>0</v>
      </c>
      <c r="AN7" s="568">
        <f>IF(Q7="węgiel",T7*'Założenia,wskaźniki, listy'!$C$49,IF(Q7="gaz",T7*'Założenia,wskaźniki, listy'!$D$49,IF(Q7="drewno",T7*'Założenia,wskaźniki, listy'!$E$49,IF(Q7="pelet",T7*'Założenia,wskaźniki, listy'!$F$49,IF(Q7="olej opałowy",T7*'Założenia,wskaźniki, listy'!$G$49,IF(Q7="sieć ciepłownicza",0,IF(Q7="prąd",0,0)))))))</f>
        <v>0</v>
      </c>
      <c r="AO7" s="568">
        <f>IF(Q7="węgiel",T7*'Założenia,wskaźniki, listy'!$C$50,IF(Q7="gaz",T7*'Założenia,wskaźniki, listy'!$D$50,IF(Q7="drewno",T7*'Założenia,wskaźniki, listy'!$E$50,IF(Q7="pelet",T7*'Założenia,wskaźniki, listy'!$F$50,IF(Q7="olej opałowy",T7*'Założenia,wskaźniki, listy'!$G$50,IF(Q7="sieć ciepłownicza",0,IF(Q7="prąd",0,0)))))))</f>
        <v>0</v>
      </c>
      <c r="AP7" s="568">
        <v>5.8</v>
      </c>
      <c r="AQ7" s="575">
        <v>2.5</v>
      </c>
      <c r="AR7" s="594">
        <f t="shared" si="3"/>
        <v>1.44E-2</v>
      </c>
      <c r="AS7" s="594">
        <f t="shared" si="4"/>
        <v>1.41E-2</v>
      </c>
      <c r="AT7" s="568">
        <f>IF(P7="energia el.",(IF(O7&gt;=50,AD7,W7)+AP7*Z!$J$46),(IF(O7&gt;=50,AD7,W7)+AP7*Z!$J$46))</f>
        <v>4.8227000000000002</v>
      </c>
      <c r="AU7" s="568">
        <f t="shared" si="5"/>
        <v>3.6300000000000004E-6</v>
      </c>
      <c r="AV7" s="568">
        <f t="shared" si="6"/>
        <v>3.3E-4</v>
      </c>
      <c r="AW7" s="568">
        <f t="shared" si="7"/>
        <v>2.4000000000000002E-3</v>
      </c>
      <c r="AX7" s="568">
        <f t="shared" si="8"/>
        <v>5.3819999999999996E-3</v>
      </c>
      <c r="AY7" s="88" t="s">
        <v>88</v>
      </c>
      <c r="AZ7" s="567"/>
      <c r="BA7" s="564"/>
      <c r="BB7" s="567" t="s">
        <v>109</v>
      </c>
      <c r="BC7" s="567" t="s">
        <v>3</v>
      </c>
      <c r="BD7" s="567"/>
      <c r="BE7" s="567" t="s">
        <v>109</v>
      </c>
      <c r="BF7" s="567" t="s">
        <v>88</v>
      </c>
      <c r="BG7" s="567">
        <v>2020</v>
      </c>
      <c r="BH7" s="567"/>
      <c r="BI7" s="308">
        <f t="shared" si="9"/>
        <v>30</v>
      </c>
      <c r="BJ7" s="308" t="b">
        <f t="shared" si="10"/>
        <v>0</v>
      </c>
      <c r="BK7" s="319">
        <f t="shared" si="11"/>
        <v>300</v>
      </c>
      <c r="BL7" s="319">
        <f t="shared" si="12"/>
        <v>150</v>
      </c>
      <c r="BM7" s="319" t="b">
        <f t="shared" si="13"/>
        <v>0</v>
      </c>
      <c r="BN7" s="319">
        <f t="shared" si="14"/>
        <v>0</v>
      </c>
      <c r="BO7" s="319" t="b">
        <f t="shared" si="15"/>
        <v>0</v>
      </c>
      <c r="BP7" s="319">
        <f t="shared" si="16"/>
        <v>0</v>
      </c>
      <c r="BQ7" s="319" t="b">
        <f t="shared" si="17"/>
        <v>0</v>
      </c>
      <c r="BR7" s="319">
        <f t="shared" si="18"/>
        <v>0</v>
      </c>
      <c r="BS7" s="319" t="b">
        <f t="shared" si="19"/>
        <v>0</v>
      </c>
      <c r="BT7" s="319">
        <f t="shared" si="20"/>
        <v>0</v>
      </c>
      <c r="BU7" s="319" t="b">
        <f t="shared" si="21"/>
        <v>0</v>
      </c>
      <c r="BV7" s="319" t="b">
        <f t="shared" si="22"/>
        <v>0</v>
      </c>
      <c r="BW7" s="319">
        <f t="shared" si="23"/>
        <v>30</v>
      </c>
      <c r="BX7" s="319" t="b">
        <f t="shared" si="24"/>
        <v>0</v>
      </c>
      <c r="BY7" s="319" t="b">
        <f t="shared" si="25"/>
        <v>0</v>
      </c>
      <c r="BZ7" s="319" t="b">
        <f t="shared" si="26"/>
        <v>0</v>
      </c>
      <c r="CA7" s="319" t="b">
        <f t="shared" si="27"/>
        <v>0</v>
      </c>
      <c r="CB7" s="319" t="b">
        <f t="shared" si="28"/>
        <v>0</v>
      </c>
      <c r="CC7" s="319" t="b">
        <f t="shared" si="29"/>
        <v>0</v>
      </c>
      <c r="CD7" s="319" t="b">
        <f t="shared" si="30"/>
        <v>0</v>
      </c>
      <c r="CE7" s="319" t="b">
        <f t="shared" si="31"/>
        <v>0</v>
      </c>
      <c r="CF7" s="319">
        <f t="shared" si="32"/>
        <v>2.0130069375000001</v>
      </c>
    </row>
    <row r="8" spans="1:84">
      <c r="A8" s="870">
        <v>4</v>
      </c>
      <c r="B8" s="566">
        <f>SUM($C$5:C8)</f>
        <v>4</v>
      </c>
      <c r="C8" s="503">
        <f t="shared" ref="C8" si="35">IF(ISTEXT(D8),1)</f>
        <v>1</v>
      </c>
      <c r="D8" s="857" t="s">
        <v>574</v>
      </c>
      <c r="E8" s="857" t="s">
        <v>599</v>
      </c>
      <c r="F8" s="858">
        <v>1963</v>
      </c>
      <c r="G8" s="848">
        <v>300</v>
      </c>
      <c r="H8" s="88">
        <v>2</v>
      </c>
      <c r="I8" s="88"/>
      <c r="J8" s="88">
        <f>IF(F8&lt;=1966,'Założenia,wskaźniki, listy'!$H$4,IF(F8&gt;1966,IF(F8&lt;=1985,'Założenia,wskaźniki, listy'!$H$5,IF(F8&gt;1985,IF(F8&lt;=1992,'Założenia,wskaźniki, listy'!$H$6,IF(F8&gt;1992,IF(F8&lt;=1996,'Założenia,wskaźniki, listy'!$H$7,IF(F8&gt;1996,IF(F8&lt;=2013,'Założenia,wskaźniki, listy'!$H$8)))))))))</f>
        <v>290</v>
      </c>
      <c r="K8" s="864" t="s">
        <v>31</v>
      </c>
      <c r="L8" s="88" t="s">
        <v>8</v>
      </c>
      <c r="M8" s="88"/>
      <c r="N8" s="567"/>
      <c r="O8" s="567"/>
      <c r="P8" s="88" t="s">
        <v>313</v>
      </c>
      <c r="Q8" s="480">
        <f t="shared" si="2"/>
        <v>196.1526013875</v>
      </c>
      <c r="R8" s="249">
        <f>IF(K8="kompletna",J8*G8*0.0036*'Założenia,wskaźniki, listy'!$C$15,IF(K8="częściowa",J8*G8*0.0036*'Założenia,wskaźniki, listy'!$C$16,IF(K8="brak",J8*G8*0.0036*'Założenia,wskaźniki, listy'!$C$17,0)))</f>
        <v>313.2</v>
      </c>
      <c r="S8" s="249">
        <f>H8*'Założenia,wskaźniki, listy'!$L$16</f>
        <v>0.80520277500000004</v>
      </c>
      <c r="T8" s="249">
        <f>R8/4</f>
        <v>78.3</v>
      </c>
      <c r="U8" s="568">
        <f>IF(L8="węgiel",T8*'Założenia,wskaźniki, listy'!$C$44,IF(L8="gaz",T8*'Założenia,wskaźniki, listy'!$D$44,IF(L8="drewno",T8*'Założenia,wskaźniki, listy'!$E$44,IF(L8="pelet",T8*'Założenia,wskaźniki, listy'!$F$44,IF(L8="olej opałowy",T8*'Założenia,wskaźniki, listy'!$G$44,IF(L8="sieć ciepłownicza",0,IF(L8="prąd",0,0)))))))</f>
        <v>1.7617499999999998E-2</v>
      </c>
      <c r="V8" s="568">
        <f>IF(L8="węgiel",T8*'Założenia,wskaźniki, listy'!$C$45,IF(L8="gaz",T8*'Założenia,wskaźniki, listy'!$D$45,IF(L8="drewno",T8*'Założenia,wskaźniki, listy'!$E$45,IF(L8="pelet",T8*'Założenia,wskaźniki, listy'!$F$45,IF(L8="olej opałowy",T8*'Założenia,wskaźniki, listy'!$G$45,IF(L8="sieć ciepłownicza",0,IF(L8="prąd",0,0)))))))</f>
        <v>1.57383E-2</v>
      </c>
      <c r="W8" s="568">
        <f>IF(L8="węgiel",T8*'Założenia,wskaźniki, listy'!$C$46,IF(L8="gaz",T8*'Założenia,wskaźniki, listy'!$D$46,IF(L8="drewno",T8*'Założenia,wskaźniki, listy'!$E$46,IF(L8="pelet",T8*'Założenia,wskaźniki, listy'!$F$46,IF(L8="olej opałowy",T8*'Założenia,wskaźniki, listy'!$G$46,IF(L8="sieć ciepłownicza",0,IF(L8="prąd",0,0)))))))</f>
        <v>7.3398419999999991</v>
      </c>
      <c r="X8" s="568">
        <f>IF(L8="węgiel",T8*'Założenia,wskaźniki, listy'!$C$47,IF(L8="gaz",T8*'Założenia,wskaźniki, listy'!$D$47,IF(L8="drewno",T8*'Założenia,wskaźniki, listy'!$E$47,IF(L8="pelet",T8*'Założenia,wskaźniki, listy'!$F$47,IF(L8="olej opałowy",T8*'Założenia,wskaźniki, listy'!$G$47,IF(L8="sieć ciepłownicza",0,IF(L8="prąd",0,0)))))))</f>
        <v>2.1141E-5</v>
      </c>
      <c r="Y8" s="568">
        <f>IF(L8="węgiel",T8*'Założenia,wskaźniki, listy'!$C$48,IF(L8="gaz",T8*'Założenia,wskaźniki, listy'!$D$48,IF(L8="drewno",T8*'Założenia,wskaźniki, listy'!$E$48,IF(L8="pelet",T8*'Założenia,wskaźniki, listy'!$F$48,IF(L8="olej opałowy",T8*'Założenia,wskaźniki, listy'!$G$48,IF(L8="sieć ciepłownicza",0,IF(L8="prąd",0,0)))))))</f>
        <v>7.0469999999999991E-2</v>
      </c>
      <c r="Z8" s="568">
        <f>IF(L8="węgiel",T8*'Założenia,wskaźniki, listy'!$C$49,IF(L8="gaz",T8*'Założenia,wskaźniki, listy'!$D$49,IF(L8="drewno",T8*'Założenia,wskaźniki, listy'!$E$49,IF(L8="pelet",T8*'Założenia,wskaźniki, listy'!$F$49,IF(L8="olej opałowy",T8*'Założenia,wskaźniki, listy'!$G$49,IF(L8="sieć ciepłownicza",0,IF(L8="prąd",0,0)))))))</f>
        <v>1.2371399999999999E-2</v>
      </c>
      <c r="AA8" s="568">
        <f>IF(L8="węgiel",T8*'Założenia,wskaźniki, listy'!$C$50,IF(L8="gaz",T8*'Założenia,wskaźniki, listy'!$D$50,IF(L8="drewno",T8*'Założenia,wskaźniki, listy'!$E$50,IF(L8="pelet",T8*'Założenia,wskaźniki, listy'!$F$50,IF(L8="olej opałowy",T8*'Założenia,wskaźniki, listy'!$G$50,IF(L8="sieć ciepłownicza",0,IF(L8="prąd",0,0)))))))</f>
        <v>0.1575100581135449</v>
      </c>
      <c r="AB8" s="568">
        <f>IF(L8="węgiel",T8*Z!$C$44,IF(L8="gaz",T8*Z!$D$44,IF(L8="drewno",T8*Z!$E$44,IF(L8="pelet",T8*Z!$F$44,IF(L8="olej opałowy",T8*Z!$G$44,IF(L8="sieć ciepłownicza",0,IF(L8="prąd",0,0)))))))</f>
        <v>1.4877E-2</v>
      </c>
      <c r="AC8" s="568">
        <f>IF(L8="węgiel",T8*Z!$C$45,IF(L8="gaz",T8*Z!$D$45,IF(L8="drewno",T8*Z!$E$45,IF(L8="pelet",T8*Z!$F$45,IF(L8="olej opałowy",T8*Z!$G$45,IF(L8="sieć ciepłownicza",0,IF(L8="prąd",0,0)))))))</f>
        <v>1.3311E-2</v>
      </c>
      <c r="AD8" s="568">
        <f>IF(L8="węgiel",T8*Z!$C$46,IF(L8="gaz",T8*Z!$D$46,IF(L8="drewno",T8*Z!$E$46,IF(L8="pelet",T8*Z!$F$46,IF(L8="olej opałowy",T8*Z!$G$46,IF(L8="sieć ciepłownicza",0,IF(L8="prąd",0,0)))))))</f>
        <v>7.3398419999999991</v>
      </c>
      <c r="AE8" s="568">
        <f>IF(L8="węgiel",T8*Z!$C$47,IF(L8="gaz",T8*Z!$D$47,IF(L8="drewno",T8*Z!$E$47,IF(L8="pelet",T8*Z!$F$47,IF(L8="olej opałowy",T8*Z!$G$47,IF(L8="sieć ciepłownicza",0,IF(L8="prąd",0,0)))))))</f>
        <v>7.8299999999999996E-6</v>
      </c>
      <c r="AF8" s="568">
        <f>IF(L8="węgiel",T8*Z!$C$48,IF(L8="gaz",T8*Z!$D$48,IF(L8="drewno",T8*Z!$E$48,IF(L8="pelet",T8*Z!$F$48,IF(L8="olej opałowy",T8*Z!$G$48,IF(L8="sieć ciepłownicza",0,IF(L8="prąd",0,0)))))))</f>
        <v>7.0469999999999991E-2</v>
      </c>
      <c r="AG8" s="568">
        <f>IF(L8="węgiel",T8*Z!$C$49,IF(L8="gaz",T8*Z!$D$49,IF(L8="drewno",T8*Z!$E$49,IF(L8="pelet",T8*Z!$F$49,IF(L8="olej opałowy",T8*Z!$G$49,IF(L8="sieć ciepłownicza",0,IF(L8="prąd",0,0)))))))</f>
        <v>1.2528000000000001E-2</v>
      </c>
      <c r="AH8" s="568">
        <f>IF(L8="węgiel",T8*Z!$C$50,IF(L8="gaz",T8*Z!$D$50,IF(L8="drewno",T8*Z!$E$50,IF(L8="pelet",T8*Z!$F$50,IF(L8="olej opałowy",T8*Z!$G$50,IF(L8="sieć ciepłownicza",0,IF(L8="prąd",0,0)))))))</f>
        <v>0.1575100581135449</v>
      </c>
      <c r="AI8" s="568">
        <f>IF(P8="węgiel",S8*'Założenia,wskaźniki, listy'!$C$44,IF(P8="gaz",S8*'Założenia,wskaźniki, listy'!$D$44,IF(P8="drewno",S8*'Założenia,wskaźniki, listy'!$E$44,IF(P8="pelet",S8*'Założenia,wskaźniki, listy'!$F$44,IF(P8="olej opałowy",S8*'Założenia,wskaźniki, listy'!$G$44,IF(P8="sieć ciepłownicza",0,IF(P8="prąd",0,0)))))))</f>
        <v>0</v>
      </c>
      <c r="AJ8" s="568">
        <f>IF(Q8="węgiel",T8*'Założenia,wskaźniki, listy'!$C$45,IF(Q8="gaz",T8*'Założenia,wskaźniki, listy'!$D$45,IF(Q8="drewno",T8*'Założenia,wskaźniki, listy'!$E$45,IF(Q8="pelet",T8*'Założenia,wskaźniki, listy'!$F$45,IF(Q8="olej opałowy",T8*'Założenia,wskaźniki, listy'!$G$45,IF(Q8="sieć ciepłownicza",0,IF(Q8="prąd",0,0)))))))</f>
        <v>0</v>
      </c>
      <c r="AK8" s="568">
        <f>IF(Q8="węgiel",T8*'Założenia,wskaźniki, listy'!$C$46,IF(Q8="gaz",T8*'Założenia,wskaźniki, listy'!$D$46,IF(Q8="drewno",T8*'Założenia,wskaźniki, listy'!$E$46,IF(Q8="pelet",T8*'Założenia,wskaźniki, listy'!$F$46,IF(Q8="olej opałowy",T8*'Założenia,wskaźniki, listy'!$G$46,IF(Q8="sieć ciepłownicza",0,IF(Q8="prąd",0,0)))))))</f>
        <v>0</v>
      </c>
      <c r="AL8" s="568">
        <f>IF(Q8="węgiel",T8*'Założenia,wskaźniki, listy'!$C$47,IF(Q8="gaz",T8*'Założenia,wskaźniki, listy'!$D$47,IF(Q8="drewno",T8*'Założenia,wskaźniki, listy'!$E$47,IF(Q8="pelet",T8*'Założenia,wskaźniki, listy'!$F$47,IF(Q8="olej opałowy",T8*'Założenia,wskaźniki, listy'!$G$47,IF(Q8="sieć ciepłownicza",0,IF(Q8="prąd",0,0)))))))</f>
        <v>0</v>
      </c>
      <c r="AM8" s="568">
        <f>IF(Q8="węgiel",T8*'Założenia,wskaźniki, listy'!$C$48,IF(Q8="gaz",T8*'Założenia,wskaźniki, listy'!$D$48,IF(Q8="drewno",T8*'Założenia,wskaźniki, listy'!$E$48,IF(Q8="pelet",T8*'Założenia,wskaźniki, listy'!$F$48,IF(Q8="olej opałowy",T8*'Założenia,wskaźniki, listy'!$G$48,IF(Q8="sieć ciepłownicza",0,IF(Q8="prąd",0,0)))))))</f>
        <v>0</v>
      </c>
      <c r="AN8" s="568">
        <f>IF(Q8="węgiel",T8*'Założenia,wskaźniki, listy'!$C$49,IF(Q8="gaz",T8*'Założenia,wskaźniki, listy'!$D$49,IF(Q8="drewno",T8*'Założenia,wskaźniki, listy'!$E$49,IF(Q8="pelet",T8*'Założenia,wskaźniki, listy'!$F$49,IF(Q8="olej opałowy",T8*'Założenia,wskaźniki, listy'!$G$49,IF(Q8="sieć ciepłownicza",0,IF(Q8="prąd",0,0)))))))</f>
        <v>0</v>
      </c>
      <c r="AO8" s="568">
        <f>IF(Q8="węgiel",T8*'Założenia,wskaźniki, listy'!$C$50,IF(Q8="gaz",T8*'Założenia,wskaźniki, listy'!$D$50,IF(Q8="drewno",T8*'Założenia,wskaźniki, listy'!$E$50,IF(Q8="pelet",T8*'Założenia,wskaźniki, listy'!$F$50,IF(Q8="olej opałowy",T8*'Założenia,wskaźniki, listy'!$G$50,IF(Q8="sieć ciepłownicza",0,IF(Q8="prąd",0,0)))))))</f>
        <v>0</v>
      </c>
      <c r="AP8" s="568">
        <v>0.8</v>
      </c>
      <c r="AQ8" s="575">
        <v>0.4</v>
      </c>
      <c r="AR8" s="594">
        <f t="shared" si="3"/>
        <v>1.7617499999999998E-2</v>
      </c>
      <c r="AS8" s="594">
        <f t="shared" si="4"/>
        <v>1.57383E-2</v>
      </c>
      <c r="AT8" s="568">
        <f>IF(P8="energia el.",(IF(O8&gt;=50,AD8,W8)+AP8*Z!$J$46),(IF(O8&gt;=50,AD8,W8)+AP8*Z!$J$46))</f>
        <v>8.0050419999999995</v>
      </c>
      <c r="AU8" s="568">
        <f t="shared" si="5"/>
        <v>2.1141E-5</v>
      </c>
      <c r="AV8" s="568">
        <f t="shared" si="6"/>
        <v>7.0469999999999991E-2</v>
      </c>
      <c r="AW8" s="568">
        <f t="shared" si="7"/>
        <v>1.2371399999999999E-2</v>
      </c>
      <c r="AX8" s="568">
        <f t="shared" si="8"/>
        <v>0.1575100581135449</v>
      </c>
      <c r="AY8" s="88" t="s">
        <v>88</v>
      </c>
      <c r="AZ8" s="567"/>
      <c r="BA8" s="564"/>
      <c r="BB8" s="567"/>
      <c r="BC8" s="567"/>
      <c r="BD8" s="567"/>
      <c r="BE8" s="567"/>
      <c r="BF8" s="567"/>
      <c r="BG8" s="567"/>
      <c r="BH8" s="567"/>
      <c r="BI8" s="308">
        <f t="shared" si="9"/>
        <v>78.3</v>
      </c>
      <c r="BJ8" s="308" t="b">
        <f t="shared" si="10"/>
        <v>0</v>
      </c>
      <c r="BK8" s="319">
        <f t="shared" si="11"/>
        <v>300</v>
      </c>
      <c r="BL8" s="319" t="b">
        <f t="shared" si="12"/>
        <v>0</v>
      </c>
      <c r="BM8" s="319" t="b">
        <f t="shared" si="13"/>
        <v>0</v>
      </c>
      <c r="BN8" s="319" t="b">
        <f t="shared" si="14"/>
        <v>0</v>
      </c>
      <c r="BO8" s="319" t="b">
        <f t="shared" si="15"/>
        <v>0</v>
      </c>
      <c r="BP8" s="319" t="b">
        <f t="shared" si="16"/>
        <v>0</v>
      </c>
      <c r="BQ8" s="319" t="b">
        <f t="shared" si="17"/>
        <v>0</v>
      </c>
      <c r="BR8" s="319" t="b">
        <f t="shared" si="18"/>
        <v>0</v>
      </c>
      <c r="BS8" s="319" t="b">
        <f t="shared" si="19"/>
        <v>0</v>
      </c>
      <c r="BT8" s="319" t="b">
        <f t="shared" si="20"/>
        <v>0</v>
      </c>
      <c r="BU8" s="319">
        <f t="shared" si="21"/>
        <v>78.3</v>
      </c>
      <c r="BV8" s="319" t="b">
        <f t="shared" si="22"/>
        <v>0</v>
      </c>
      <c r="BW8" s="319" t="b">
        <f t="shared" si="23"/>
        <v>0</v>
      </c>
      <c r="BX8" s="319" t="b">
        <f t="shared" si="24"/>
        <v>0</v>
      </c>
      <c r="BY8" s="319" t="b">
        <f t="shared" si="25"/>
        <v>0</v>
      </c>
      <c r="BZ8" s="319" t="b">
        <f t="shared" si="26"/>
        <v>0</v>
      </c>
      <c r="CA8" s="319" t="b">
        <f t="shared" si="27"/>
        <v>0</v>
      </c>
      <c r="CB8" s="319" t="b">
        <f t="shared" si="28"/>
        <v>0</v>
      </c>
      <c r="CC8" s="319" t="b">
        <f t="shared" si="29"/>
        <v>0</v>
      </c>
      <c r="CD8" s="319" t="b">
        <f t="shared" si="30"/>
        <v>0</v>
      </c>
      <c r="CE8" s="319" t="b">
        <f t="shared" si="31"/>
        <v>0</v>
      </c>
      <c r="CF8" s="319">
        <f t="shared" si="32"/>
        <v>0.80520277500000004</v>
      </c>
    </row>
    <row r="9" spans="1:84" ht="28.5" customHeight="1">
      <c r="A9" s="870">
        <v>5</v>
      </c>
      <c r="B9" s="566">
        <f>SUM($C$5:C9)</f>
        <v>5</v>
      </c>
      <c r="C9" s="503">
        <f t="shared" ref="C9:C20" si="36">IF(ISTEXT(D9),1)</f>
        <v>1</v>
      </c>
      <c r="D9" s="859" t="s">
        <v>598</v>
      </c>
      <c r="E9" s="859" t="s">
        <v>575</v>
      </c>
      <c r="F9" s="860">
        <v>1938</v>
      </c>
      <c r="G9" s="861">
        <v>373</v>
      </c>
      <c r="H9" s="88">
        <v>5</v>
      </c>
      <c r="I9" s="88"/>
      <c r="J9" s="88">
        <f>IF(F9&lt;=1966,'Założenia,wskaźniki, listy'!$H$4,IF(F9&gt;1966,IF(F9&lt;=1985,'Założenia,wskaźniki, listy'!$H$5,IF(F9&gt;1985,IF(F9&lt;=1992,'Założenia,wskaźniki, listy'!$H$6,IF(F9&gt;1992,IF(F9&lt;=1996,'Założenia,wskaźniki, listy'!$H$7,IF(F9&gt;1996,IF(F9&lt;=2013,'Założenia,wskaźniki, listy'!$H$8)))))))))</f>
        <v>290</v>
      </c>
      <c r="K9" s="864" t="s">
        <v>33</v>
      </c>
      <c r="L9" s="88" t="s">
        <v>79</v>
      </c>
      <c r="M9" s="88"/>
      <c r="N9" s="567"/>
      <c r="O9" s="567"/>
      <c r="P9" s="88" t="s">
        <v>313</v>
      </c>
      <c r="Q9" s="480">
        <f t="shared" si="2"/>
        <v>156.77130346875001</v>
      </c>
      <c r="R9" s="249">
        <f>IF(K9="kompletna",J9*G9*0.0036*'Założenia,wskaźniki, listy'!$C$15,IF(K9="częściowa",J9*G9*0.0036*'Założenia,wskaźniki, listy'!$C$16,IF(K9="brak",J9*G9*0.0036*'Założenia,wskaźniki, listy'!$C$17,0)))</f>
        <v>311.52960000000002</v>
      </c>
      <c r="S9" s="249">
        <f>H9*'Założenia,wskaźniki, listy'!$L$16</f>
        <v>2.0130069375000001</v>
      </c>
      <c r="T9" s="249">
        <f>IF(L9="węgiel",M9*'Założenia,wskaźniki, listy'!$B$4,IF(L9="gaz",M9*'Założenia,wskaźniki, listy'!$B$5,IF(L9="drewno",M9*'Założenia,wskaźniki, listy'!$B$6,IF(L9="pelet",M9*'Założenia,wskaźniki, listy'!$B$7,IF(L9="olej opałowy",M9*'Założenia,wskaźniki, listy'!$B$8,IF(L9="sieć ciepłownicza",0,0))))))</f>
        <v>0</v>
      </c>
      <c r="U9" s="568">
        <f>IF(L9="węgiel",T9*'Założenia,wskaźniki, listy'!$C$44,IF(L9="gaz",T9*'Założenia,wskaźniki, listy'!$D$44,IF(L9="drewno",T9*'Założenia,wskaźniki, listy'!$E$44,IF(L9="pelet",T9*'Założenia,wskaźniki, listy'!$F$44,IF(L9="olej opałowy",T9*'Założenia,wskaźniki, listy'!$G$44,IF(L9="sieć ciepłownicza",0,IF(L9="prąd",0,0)))))))</f>
        <v>0</v>
      </c>
      <c r="V9" s="568">
        <f>IF(L9="węgiel",T9*'Założenia,wskaźniki, listy'!$C$45,IF(L9="gaz",T9*'Założenia,wskaźniki, listy'!$D$45,IF(L9="drewno",T9*'Założenia,wskaźniki, listy'!$E$45,IF(L9="pelet",T9*'Założenia,wskaźniki, listy'!$F$45,IF(L9="olej opałowy",T9*'Założenia,wskaźniki, listy'!$G$45,IF(L9="sieć ciepłownicza",0,IF(L9="prąd",0,0)))))))</f>
        <v>0</v>
      </c>
      <c r="W9" s="568">
        <f>IF(L9="węgiel",T9*'Założenia,wskaźniki, listy'!$C$46,IF(L9="gaz",T9*'Założenia,wskaźniki, listy'!$D$46,IF(L9="drewno",T9*'Założenia,wskaźniki, listy'!$E$46,IF(L9="pelet",T9*'Założenia,wskaźniki, listy'!$F$46,IF(L9="olej opałowy",T9*'Założenia,wskaźniki, listy'!$G$46,IF(L9="sieć ciepłownicza",0,IF(L9="prąd",0,0)))))))</f>
        <v>0</v>
      </c>
      <c r="X9" s="568">
        <f>IF(L9="węgiel",T9*'Założenia,wskaźniki, listy'!$C$47,IF(L9="gaz",T9*'Założenia,wskaźniki, listy'!$D$47,IF(L9="drewno",T9*'Założenia,wskaźniki, listy'!$E$47,IF(L9="pelet",T9*'Założenia,wskaźniki, listy'!$F$47,IF(L9="olej opałowy",T9*'Założenia,wskaźniki, listy'!$G$47,IF(L9="sieć ciepłownicza",0,IF(L9="prąd",0,0)))))))</f>
        <v>0</v>
      </c>
      <c r="Y9" s="568">
        <f>IF(L9="węgiel",T9*'Założenia,wskaźniki, listy'!$C$48,IF(L9="gaz",T9*'Założenia,wskaźniki, listy'!$D$48,IF(L9="drewno",T9*'Założenia,wskaźniki, listy'!$E$48,IF(L9="pelet",T9*'Założenia,wskaźniki, listy'!$F$48,IF(L9="olej opałowy",T9*'Założenia,wskaźniki, listy'!$G$48,IF(L9="sieć ciepłownicza",0,IF(L9="prąd",0,0)))))))</f>
        <v>0</v>
      </c>
      <c r="Z9" s="568">
        <f>IF(L9="węgiel",T9*'Założenia,wskaźniki, listy'!$C$49,IF(L9="gaz",T9*'Założenia,wskaźniki, listy'!$D$49,IF(L9="drewno",T9*'Założenia,wskaźniki, listy'!$E$49,IF(L9="pelet",T9*'Założenia,wskaźniki, listy'!$F$49,IF(L9="olej opałowy",T9*'Założenia,wskaźniki, listy'!$G$49,IF(L9="sieć ciepłownicza",0,IF(L9="prąd",0,0)))))))</f>
        <v>0</v>
      </c>
      <c r="AA9" s="568">
        <f>IF(L9="węgiel",T9*'Założenia,wskaźniki, listy'!$C$50,IF(L9="gaz",T9*'Założenia,wskaźniki, listy'!$D$50,IF(L9="drewno",T9*'Założenia,wskaźniki, listy'!$E$50,IF(L9="pelet",T9*'Założenia,wskaźniki, listy'!$F$50,IF(L9="olej opałowy",T9*'Założenia,wskaźniki, listy'!$G$50,IF(L9="sieć ciepłownicza",0,IF(L9="prąd",0,0)))))))</f>
        <v>0</v>
      </c>
      <c r="AB9" s="568">
        <f>IF(L9="węgiel",T9*Z!$C$44,IF(L9="gaz",T9*Z!$D$44,IF(L9="drewno",T9*Z!$E$44,IF(L9="pelet",T9*Z!$F$44,IF(L9="olej opałowy",T9*Z!$G$44,IF(L9="sieć ciepłownicza",0,IF(L9="prąd",0,0)))))))</f>
        <v>0</v>
      </c>
      <c r="AC9" s="568">
        <f>IF(L9="węgiel",T9*Z!$C$45,IF(L9="gaz",T9*Z!$D$45,IF(L9="drewno",T9*Z!$E$45,IF(L9="pelet",T9*Z!$F$45,IF(L9="olej opałowy",T9*Z!$G$45,IF(L9="sieć ciepłownicza",0,IF(L9="prąd",0,0)))))))</f>
        <v>0</v>
      </c>
      <c r="AD9" s="568">
        <f>IF(L9="węgiel",T9*Z!$C$46,IF(L9="gaz",T9*Z!$D$46,IF(L9="drewno",T9*Z!$E$46,IF(L9="pelet",T9*Z!$F$46,IF(L9="olej opałowy",T9*Z!$G$46,IF(L9="sieć ciepłownicza",0,IF(L9="prąd",0,0)))))))</f>
        <v>0</v>
      </c>
      <c r="AE9" s="568">
        <f>IF(L9="węgiel",T9*Z!$C$47,IF(L9="gaz",T9*Z!$D$47,IF(L9="drewno",T9*Z!$E$47,IF(L9="pelet",T9*Z!$F$47,IF(L9="olej opałowy",T9*Z!$G$47,IF(L9="sieć ciepłownicza",0,IF(L9="prąd",0,0)))))))</f>
        <v>0</v>
      </c>
      <c r="AF9" s="568">
        <f>IF(L9="węgiel",T9*Z!$C$48,IF(L9="gaz",T9*Z!$D$48,IF(L9="drewno",T9*Z!$E$48,IF(L9="pelet",T9*Z!$F$48,IF(L9="olej opałowy",T9*Z!$G$48,IF(L9="sieć ciepłownicza",0,IF(L9="prąd",0,0)))))))</f>
        <v>0</v>
      </c>
      <c r="AG9" s="568">
        <f>IF(L9="węgiel",T9*Z!$C$49,IF(L9="gaz",T9*Z!$D$49,IF(L9="drewno",T9*Z!$E$49,IF(L9="pelet",T9*Z!$F$49,IF(L9="olej opałowy",T9*Z!$G$49,IF(L9="sieć ciepłownicza",0,IF(L9="prąd",0,0)))))))</f>
        <v>0</v>
      </c>
      <c r="AH9" s="568">
        <f>IF(L9="węgiel",T9*Z!$C$50,IF(L9="gaz",T9*Z!$D$50,IF(L9="drewno",T9*Z!$E$50,IF(L9="pelet",T9*Z!$F$50,IF(L9="olej opałowy",T9*Z!$G$50,IF(L9="sieć ciepłownicza",0,IF(L9="prąd",0,0)))))))</f>
        <v>0</v>
      </c>
      <c r="AI9" s="568">
        <f>IF(P9="węgiel",S9*'Założenia,wskaźniki, listy'!$C$44,IF(P9="gaz",S9*'Założenia,wskaźniki, listy'!$D$44,IF(P9="drewno",S9*'Założenia,wskaźniki, listy'!$E$44,IF(P9="pelet",S9*'Założenia,wskaźniki, listy'!$F$44,IF(P9="olej opałowy",S9*'Założenia,wskaźniki, listy'!$G$44,IF(P9="sieć ciepłownicza",0,IF(P9="prąd",0,0)))))))</f>
        <v>0</v>
      </c>
      <c r="AJ9" s="568">
        <f>IF(Q9="węgiel",T9*'Założenia,wskaźniki, listy'!$C$45,IF(Q9="gaz",T9*'Założenia,wskaźniki, listy'!$D$45,IF(Q9="drewno",T9*'Założenia,wskaźniki, listy'!$E$45,IF(Q9="pelet",T9*'Założenia,wskaźniki, listy'!$F$45,IF(Q9="olej opałowy",T9*'Założenia,wskaźniki, listy'!$G$45,IF(Q9="sieć ciepłownicza",0,IF(Q9="prąd",0,0)))))))</f>
        <v>0</v>
      </c>
      <c r="AK9" s="568">
        <f>IF(Q9="węgiel",T9*'Założenia,wskaźniki, listy'!$C$46,IF(Q9="gaz",T9*'Założenia,wskaźniki, listy'!$D$46,IF(Q9="drewno",T9*'Założenia,wskaźniki, listy'!$E$46,IF(Q9="pelet",T9*'Założenia,wskaźniki, listy'!$F$46,IF(Q9="olej opałowy",T9*'Założenia,wskaźniki, listy'!$G$46,IF(Q9="sieć ciepłownicza",0,IF(Q9="prąd",0,0)))))))</f>
        <v>0</v>
      </c>
      <c r="AL9" s="568">
        <f>IF(Q9="węgiel",T9*'Założenia,wskaźniki, listy'!$C$47,IF(Q9="gaz",T9*'Założenia,wskaźniki, listy'!$D$47,IF(Q9="drewno",T9*'Założenia,wskaźniki, listy'!$E$47,IF(Q9="pelet",T9*'Założenia,wskaźniki, listy'!$F$47,IF(Q9="olej opałowy",T9*'Założenia,wskaźniki, listy'!$G$47,IF(Q9="sieć ciepłownicza",0,IF(Q9="prąd",0,0)))))))</f>
        <v>0</v>
      </c>
      <c r="AM9" s="568">
        <f>IF(Q9="węgiel",T9*'Założenia,wskaźniki, listy'!$C$48,IF(Q9="gaz",T9*'Założenia,wskaźniki, listy'!$D$48,IF(Q9="drewno",T9*'Założenia,wskaźniki, listy'!$E$48,IF(Q9="pelet",T9*'Założenia,wskaźniki, listy'!$F$48,IF(Q9="olej opałowy",T9*'Założenia,wskaźniki, listy'!$G$48,IF(Q9="sieć ciepłownicza",0,IF(Q9="prąd",0,0)))))))</f>
        <v>0</v>
      </c>
      <c r="AN9" s="568">
        <f>IF(Q9="węgiel",T9*'Założenia,wskaźniki, listy'!$C$49,IF(Q9="gaz",T9*'Założenia,wskaźniki, listy'!$D$49,IF(Q9="drewno",T9*'Założenia,wskaźniki, listy'!$E$49,IF(Q9="pelet",T9*'Założenia,wskaźniki, listy'!$F$49,IF(Q9="olej opałowy",T9*'Założenia,wskaźniki, listy'!$G$49,IF(Q9="sieć ciepłownicza",0,IF(Q9="prąd",0,0)))))))</f>
        <v>0</v>
      </c>
      <c r="AO9" s="568">
        <f>IF(Q9="węgiel",T9*'Założenia,wskaźniki, listy'!$C$50,IF(Q9="gaz",T9*'Założenia,wskaźniki, listy'!$D$50,IF(Q9="drewno",T9*'Założenia,wskaźniki, listy'!$E$50,IF(Q9="pelet",T9*'Założenia,wskaźniki, listy'!$F$50,IF(Q9="olej opałowy",T9*'Założenia,wskaźniki, listy'!$G$50,IF(Q9="sieć ciepłownicza",0,IF(Q9="prąd",0,0)))))))</f>
        <v>0</v>
      </c>
      <c r="AP9" s="568">
        <v>1.8</v>
      </c>
      <c r="AQ9" s="575">
        <v>0.9</v>
      </c>
      <c r="AR9" s="594">
        <f t="shared" si="3"/>
        <v>0</v>
      </c>
      <c r="AS9" s="594">
        <f t="shared" si="4"/>
        <v>0</v>
      </c>
      <c r="AT9" s="568">
        <f>IF(P9="energia el.",(IF(O9&gt;=50,AD9,W9)+AP9*Z!$J$46),(IF(O9&gt;=50,AD9,W9)+AP9*Z!$J$46))</f>
        <v>1.4967000000000001</v>
      </c>
      <c r="AU9" s="568">
        <f t="shared" si="5"/>
        <v>0</v>
      </c>
      <c r="AV9" s="568">
        <f t="shared" si="6"/>
        <v>0</v>
      </c>
      <c r="AW9" s="568">
        <f t="shared" si="7"/>
        <v>0</v>
      </c>
      <c r="AX9" s="568">
        <f t="shared" si="8"/>
        <v>0</v>
      </c>
      <c r="AY9" s="88" t="s">
        <v>88</v>
      </c>
      <c r="AZ9" s="567"/>
      <c r="BA9" s="564"/>
      <c r="BB9" s="567"/>
      <c r="BC9" s="567"/>
      <c r="BD9" s="567"/>
      <c r="BE9" s="567" t="s">
        <v>109</v>
      </c>
      <c r="BF9" s="567"/>
      <c r="BG9" s="567">
        <v>2017</v>
      </c>
      <c r="BH9" s="567" t="s">
        <v>597</v>
      </c>
      <c r="BI9" s="308">
        <f t="shared" si="9"/>
        <v>0</v>
      </c>
      <c r="BJ9" s="308" t="b">
        <f t="shared" si="10"/>
        <v>0</v>
      </c>
      <c r="BK9" s="319">
        <f t="shared" si="11"/>
        <v>373</v>
      </c>
      <c r="BL9" s="319">
        <f t="shared" si="12"/>
        <v>186.5</v>
      </c>
      <c r="BM9" s="319" t="b">
        <f t="shared" si="13"/>
        <v>0</v>
      </c>
      <c r="BN9" s="319">
        <f t="shared" si="14"/>
        <v>0</v>
      </c>
      <c r="BO9" s="319" t="b">
        <f t="shared" si="15"/>
        <v>0</v>
      </c>
      <c r="BP9" s="319">
        <f t="shared" si="16"/>
        <v>0</v>
      </c>
      <c r="BQ9" s="319" t="b">
        <f t="shared" si="17"/>
        <v>0</v>
      </c>
      <c r="BR9" s="319">
        <f t="shared" si="18"/>
        <v>0</v>
      </c>
      <c r="BS9" s="319" t="b">
        <f t="shared" si="19"/>
        <v>0</v>
      </c>
      <c r="BT9" s="319">
        <f t="shared" si="20"/>
        <v>0</v>
      </c>
      <c r="BU9" s="319" t="b">
        <f t="shared" si="21"/>
        <v>0</v>
      </c>
      <c r="BV9" s="319" t="b">
        <f t="shared" si="22"/>
        <v>0</v>
      </c>
      <c r="BW9" s="319">
        <f t="shared" si="23"/>
        <v>0</v>
      </c>
      <c r="BX9" s="319" t="b">
        <f t="shared" si="24"/>
        <v>0</v>
      </c>
      <c r="BY9" s="319" t="b">
        <f t="shared" si="25"/>
        <v>0</v>
      </c>
      <c r="BZ9" s="319" t="b">
        <f t="shared" si="26"/>
        <v>0</v>
      </c>
      <c r="CA9" s="319" t="b">
        <f t="shared" si="27"/>
        <v>0</v>
      </c>
      <c r="CB9" s="319" t="b">
        <f t="shared" si="28"/>
        <v>0</v>
      </c>
      <c r="CC9" s="319" t="b">
        <f t="shared" si="29"/>
        <v>0</v>
      </c>
      <c r="CD9" s="319" t="b">
        <f t="shared" si="30"/>
        <v>0</v>
      </c>
      <c r="CE9" s="319" t="b">
        <f t="shared" si="31"/>
        <v>0</v>
      </c>
      <c r="CF9" s="319">
        <f t="shared" si="32"/>
        <v>2.0130069375000001</v>
      </c>
    </row>
    <row r="10" spans="1:84" ht="15" customHeight="1">
      <c r="A10" s="870">
        <v>6</v>
      </c>
      <c r="B10" s="566">
        <f>SUM($C$5:C10)</f>
        <v>6</v>
      </c>
      <c r="C10" s="503">
        <f t="shared" ref="C10" si="37">IF(ISTEXT(D10),1)</f>
        <v>1</v>
      </c>
      <c r="D10" s="857" t="s">
        <v>576</v>
      </c>
      <c r="E10" s="857" t="s">
        <v>577</v>
      </c>
      <c r="F10" s="858">
        <v>1997</v>
      </c>
      <c r="G10" s="848">
        <v>279</v>
      </c>
      <c r="H10" s="88">
        <v>2</v>
      </c>
      <c r="I10" s="88"/>
      <c r="J10" s="88">
        <f>IF(F10&lt;=1966,'Założenia,wskaźniki, listy'!$H$4,IF(F10&gt;1966,IF(F10&lt;=1985,'Założenia,wskaźniki, listy'!$H$5,IF(F10&gt;1985,IF(F10&lt;=1992,'Założenia,wskaźniki, listy'!$H$6,IF(F10&gt;1992,IF(F10&lt;=1996,'Założenia,wskaźniki, listy'!$H$7,IF(F10&gt;1996,IF(F10&lt;=2013,'Założenia,wskaźniki, listy'!$H$8)))))))))</f>
        <v>115</v>
      </c>
      <c r="K10" s="864" t="s">
        <v>31</v>
      </c>
      <c r="L10" s="88" t="s">
        <v>8</v>
      </c>
      <c r="M10" s="88"/>
      <c r="N10" s="567"/>
      <c r="O10" s="567"/>
      <c r="P10" s="88" t="s">
        <v>313</v>
      </c>
      <c r="Q10" s="480">
        <f t="shared" si="2"/>
        <v>115.9086013875</v>
      </c>
      <c r="R10" s="249">
        <f>IF(K10="kompletna",J10*G10*0.0036*'Założenia,wskaźniki, listy'!$C$15,IF(K10="częściowa",J10*G10*0.0036*'Założenia,wskaźniki, listy'!$C$16,IF(K10="brak",J10*G10*0.0036*'Założenia,wskaźniki, listy'!$C$17,0)))</f>
        <v>115.506</v>
      </c>
      <c r="S10" s="249">
        <f>H10*'Założenia,wskaźniki, listy'!$L$16</f>
        <v>0.80520277500000004</v>
      </c>
      <c r="T10" s="249">
        <f>R10</f>
        <v>115.506</v>
      </c>
      <c r="U10" s="568">
        <f>IF(L10="węgiel",T10*'Założenia,wskaźniki, listy'!$C$44,IF(L10="gaz",T10*'Założenia,wskaźniki, listy'!$D$44,IF(L10="drewno",T10*'Założenia,wskaźniki, listy'!$E$44,IF(L10="pelet",T10*'Założenia,wskaźniki, listy'!$F$44,IF(L10="olej opałowy",T10*'Założenia,wskaźniki, listy'!$G$44,IF(L10="sieć ciepłownicza",0,IF(L10="prąd",0,0)))))))</f>
        <v>2.5988850000000001E-2</v>
      </c>
      <c r="V10" s="568">
        <f>IF(L10="węgiel",T10*'Założenia,wskaźniki, listy'!$C$45,IF(L10="gaz",T10*'Założenia,wskaźniki, listy'!$D$45,IF(L10="drewno",T10*'Założenia,wskaźniki, listy'!$E$45,IF(L10="pelet",T10*'Założenia,wskaźniki, listy'!$F$45,IF(L10="olej opałowy",T10*'Założenia,wskaźniki, listy'!$G$45,IF(L10="sieć ciepłownicza",0,IF(L10="prąd",0,0)))))))</f>
        <v>2.3216706E-2</v>
      </c>
      <c r="W10" s="568">
        <f>IF(L10="węgiel",T10*'Założenia,wskaźniki, listy'!$C$46,IF(L10="gaz",T10*'Założenia,wskaźniki, listy'!$D$46,IF(L10="drewno",T10*'Założenia,wskaźniki, listy'!$E$46,IF(L10="pelet",T10*'Założenia,wskaźniki, listy'!$F$46,IF(L10="olej opałowy",T10*'Założenia,wskaźniki, listy'!$G$46,IF(L10="sieć ciepłownicza",0,IF(L10="prąd",0,0)))))))</f>
        <v>10.827532439999999</v>
      </c>
      <c r="X10" s="568">
        <f>IF(L10="węgiel",T10*'Założenia,wskaźniki, listy'!$C$47,IF(L10="gaz",T10*'Założenia,wskaźniki, listy'!$D$47,IF(L10="drewno",T10*'Założenia,wskaźniki, listy'!$E$47,IF(L10="pelet",T10*'Założenia,wskaźniki, listy'!$F$47,IF(L10="olej opałowy",T10*'Założenia,wskaźniki, listy'!$G$47,IF(L10="sieć ciepłownicza",0,IF(L10="prąd",0,0)))))))</f>
        <v>3.1186619999999999E-5</v>
      </c>
      <c r="Y10" s="568">
        <f>IF(L10="węgiel",T10*'Założenia,wskaźniki, listy'!$C$48,IF(L10="gaz",T10*'Założenia,wskaźniki, listy'!$D$48,IF(L10="drewno",T10*'Założenia,wskaźniki, listy'!$E$48,IF(L10="pelet",T10*'Założenia,wskaźniki, listy'!$F$48,IF(L10="olej opałowy",T10*'Założenia,wskaźniki, listy'!$G$48,IF(L10="sieć ciepłownicza",0,IF(L10="prąd",0,0)))))))</f>
        <v>0.1039554</v>
      </c>
      <c r="Z10" s="568">
        <f>IF(L10="węgiel",T10*'Założenia,wskaźniki, listy'!$C$49,IF(L10="gaz",T10*'Założenia,wskaźniki, listy'!$D$49,IF(L10="drewno",T10*'Założenia,wskaźniki, listy'!$E$49,IF(L10="pelet",T10*'Założenia,wskaźniki, listy'!$F$49,IF(L10="olej opałowy",T10*'Założenia,wskaźniki, listy'!$G$49,IF(L10="sieć ciepłownicza",0,IF(L10="prąd",0,0)))))))</f>
        <v>1.8249947999999998E-2</v>
      </c>
      <c r="AA10" s="568">
        <f>IF(L10="węgiel",T10*'Założenia,wskaźniki, listy'!$C$50,IF(L10="gaz",T10*'Założenia,wskaźniki, listy'!$D$50,IF(L10="drewno",T10*'Założenia,wskaźniki, listy'!$E$50,IF(L10="pelet",T10*'Założenia,wskaźniki, listy'!$F$50,IF(L10="olej opałowy",T10*'Założenia,wskaźniki, listy'!$G$50,IF(L10="sieć ciepłownicza",0,IF(L10="prąd",0,0)))))))</f>
        <v>0.23235449262405006</v>
      </c>
      <c r="AB10" s="568">
        <f>IF(L10="węgiel",T10*Z!$C$44,IF(L10="gaz",T10*Z!$D$44,IF(L10="drewno",T10*Z!$E$44,IF(L10="pelet",T10*Z!$F$44,IF(L10="olej opałowy",T10*Z!$G$44,IF(L10="sieć ciepłownicza",0,IF(L10="prąd",0,0)))))))</f>
        <v>2.1946140000000003E-2</v>
      </c>
      <c r="AC10" s="568">
        <f>IF(L10="węgiel",T10*Z!$C$45,IF(L10="gaz",T10*Z!$D$45,IF(L10="drewno",T10*Z!$E$45,IF(L10="pelet",T10*Z!$F$45,IF(L10="olej opałowy",T10*Z!$G$45,IF(L10="sieć ciepłownicza",0,IF(L10="prąd",0,0)))))))</f>
        <v>1.9636020000000001E-2</v>
      </c>
      <c r="AD10" s="568">
        <f>IF(L10="węgiel",T10*Z!$C$46,IF(L10="gaz",T10*Z!$D$46,IF(L10="drewno",T10*Z!$E$46,IF(L10="pelet",T10*Z!$F$46,IF(L10="olej opałowy",T10*Z!$G$46,IF(L10="sieć ciepłownicza",0,IF(L10="prąd",0,0)))))))</f>
        <v>10.827532439999999</v>
      </c>
      <c r="AE10" s="568">
        <f>IF(L10="węgiel",T10*Z!$C$47,IF(L10="gaz",T10*Z!$D$47,IF(L10="drewno",T10*Z!$E$47,IF(L10="pelet",T10*Z!$F$47,IF(L10="olej opałowy",T10*Z!$G$47,IF(L10="sieć ciepłownicza",0,IF(L10="prąd",0,0)))))))</f>
        <v>1.1550599999999999E-5</v>
      </c>
      <c r="AF10" s="568">
        <f>IF(L10="węgiel",T10*Z!$C$48,IF(L10="gaz",T10*Z!$D$48,IF(L10="drewno",T10*Z!$E$48,IF(L10="pelet",T10*Z!$F$48,IF(L10="olej opałowy",T10*Z!$G$48,IF(L10="sieć ciepłownicza",0,IF(L10="prąd",0,0)))))))</f>
        <v>0.1039554</v>
      </c>
      <c r="AG10" s="568">
        <f>IF(L10="węgiel",T10*Z!$C$49,IF(L10="gaz",T10*Z!$D$49,IF(L10="drewno",T10*Z!$E$49,IF(L10="pelet",T10*Z!$F$49,IF(L10="olej opałowy",T10*Z!$G$49,IF(L10="sieć ciepłownicza",0,IF(L10="prąd",0,0)))))))</f>
        <v>1.8480960000000001E-2</v>
      </c>
      <c r="AH10" s="568">
        <f>IF(L10="węgiel",T10*Z!$C$50,IF(L10="gaz",T10*Z!$D$50,IF(L10="drewno",T10*Z!$E$50,IF(L10="pelet",T10*Z!$F$50,IF(L10="olej opałowy",T10*Z!$G$50,IF(L10="sieć ciepłownicza",0,IF(L10="prąd",0,0)))))))</f>
        <v>0.23235449262405006</v>
      </c>
      <c r="AI10" s="568">
        <f>IF(P10="węgiel",S10*'Założenia,wskaźniki, listy'!$C$44,IF(P10="gaz",S10*'Założenia,wskaźniki, listy'!$D$44,IF(P10="drewno",S10*'Założenia,wskaźniki, listy'!$E$44,IF(P10="pelet",S10*'Założenia,wskaźniki, listy'!$F$44,IF(P10="olej opałowy",S10*'Założenia,wskaźniki, listy'!$G$44,IF(P10="sieć ciepłownicza",0,IF(P10="prąd",0,0)))))))</f>
        <v>0</v>
      </c>
      <c r="AJ10" s="568">
        <f>IF(Q10="węgiel",T10*'Założenia,wskaźniki, listy'!$C$45,IF(Q10="gaz",T10*'Założenia,wskaźniki, listy'!$D$45,IF(Q10="drewno",T10*'Założenia,wskaźniki, listy'!$E$45,IF(Q10="pelet",T10*'Założenia,wskaźniki, listy'!$F$45,IF(Q10="olej opałowy",T10*'Założenia,wskaźniki, listy'!$G$45,IF(Q10="sieć ciepłownicza",0,IF(Q10="prąd",0,0)))))))</f>
        <v>0</v>
      </c>
      <c r="AK10" s="568">
        <f>IF(Q10="węgiel",T10*'Założenia,wskaźniki, listy'!$C$46,IF(Q10="gaz",T10*'Założenia,wskaźniki, listy'!$D$46,IF(Q10="drewno",T10*'Założenia,wskaźniki, listy'!$E$46,IF(Q10="pelet",T10*'Założenia,wskaźniki, listy'!$F$46,IF(Q10="olej opałowy",T10*'Założenia,wskaźniki, listy'!$G$46,IF(Q10="sieć ciepłownicza",0,IF(Q10="prąd",0,0)))))))</f>
        <v>0</v>
      </c>
      <c r="AL10" s="568">
        <f>IF(Q10="węgiel",T10*'Założenia,wskaźniki, listy'!$C$47,IF(Q10="gaz",T10*'Założenia,wskaźniki, listy'!$D$47,IF(Q10="drewno",T10*'Założenia,wskaźniki, listy'!$E$47,IF(Q10="pelet",T10*'Założenia,wskaźniki, listy'!$F$47,IF(Q10="olej opałowy",T10*'Założenia,wskaźniki, listy'!$G$47,IF(Q10="sieć ciepłownicza",0,IF(Q10="prąd",0,0)))))))</f>
        <v>0</v>
      </c>
      <c r="AM10" s="568">
        <f>IF(Q10="węgiel",T10*'Założenia,wskaźniki, listy'!$C$48,IF(Q10="gaz",T10*'Założenia,wskaźniki, listy'!$D$48,IF(Q10="drewno",T10*'Założenia,wskaźniki, listy'!$E$48,IF(Q10="pelet",T10*'Założenia,wskaźniki, listy'!$F$48,IF(Q10="olej opałowy",T10*'Założenia,wskaźniki, listy'!$G$48,IF(Q10="sieć ciepłownicza",0,IF(Q10="prąd",0,0)))))))</f>
        <v>0</v>
      </c>
      <c r="AN10" s="568">
        <f>IF(Q10="węgiel",T10*'Założenia,wskaźniki, listy'!$C$49,IF(Q10="gaz",T10*'Założenia,wskaźniki, listy'!$D$49,IF(Q10="drewno",T10*'Założenia,wskaźniki, listy'!$E$49,IF(Q10="pelet",T10*'Założenia,wskaźniki, listy'!$F$49,IF(Q10="olej opałowy",T10*'Założenia,wskaźniki, listy'!$G$49,IF(Q10="sieć ciepłownicza",0,IF(Q10="prąd",0,0)))))))</f>
        <v>0</v>
      </c>
      <c r="AO10" s="568">
        <f>IF(Q10="węgiel",T10*'Założenia,wskaźniki, listy'!$C$50,IF(Q10="gaz",T10*'Założenia,wskaźniki, listy'!$D$50,IF(Q10="drewno",T10*'Założenia,wskaźniki, listy'!$E$50,IF(Q10="pelet",T10*'Założenia,wskaźniki, listy'!$F$50,IF(Q10="olej opałowy",T10*'Założenia,wskaźniki, listy'!$G$50,IF(Q10="sieć ciepłownicza",0,IF(Q10="prąd",0,0)))))))</f>
        <v>0</v>
      </c>
      <c r="AP10" s="568">
        <v>0.85</v>
      </c>
      <c r="AQ10" s="575">
        <v>0.4</v>
      </c>
      <c r="AR10" s="594">
        <f t="shared" si="3"/>
        <v>2.5988850000000001E-2</v>
      </c>
      <c r="AS10" s="594">
        <f t="shared" si="4"/>
        <v>2.3216706E-2</v>
      </c>
      <c r="AT10" s="568">
        <f>IF(P10="energia el.",(IF(O10&gt;=50,AD10,W10)+AP10*Z!$J$46),(IF(O10&gt;=50,AD10,W10)+AP10*Z!$J$46))</f>
        <v>11.534307439999999</v>
      </c>
      <c r="AU10" s="568">
        <f t="shared" si="5"/>
        <v>3.1186619999999999E-5</v>
      </c>
      <c r="AV10" s="568">
        <f t="shared" si="6"/>
        <v>0.1039554</v>
      </c>
      <c r="AW10" s="568">
        <f t="shared" si="7"/>
        <v>1.8249947999999998E-2</v>
      </c>
      <c r="AX10" s="568">
        <f t="shared" si="8"/>
        <v>0.23235449262405006</v>
      </c>
      <c r="AY10" s="88" t="s">
        <v>88</v>
      </c>
      <c r="AZ10" s="567"/>
      <c r="BA10" s="564"/>
      <c r="BB10" s="567"/>
      <c r="BC10" s="567"/>
      <c r="BD10" s="567"/>
      <c r="BE10" s="567"/>
      <c r="BF10" s="567"/>
      <c r="BG10" s="567"/>
      <c r="BH10" s="567"/>
      <c r="BI10" s="308">
        <f t="shared" si="9"/>
        <v>115.506</v>
      </c>
      <c r="BJ10" s="308" t="b">
        <f t="shared" si="10"/>
        <v>0</v>
      </c>
      <c r="BK10" s="319" t="b">
        <f t="shared" si="11"/>
        <v>0</v>
      </c>
      <c r="BL10" s="319" t="b">
        <f t="shared" si="12"/>
        <v>0</v>
      </c>
      <c r="BM10" s="319" t="b">
        <f t="shared" si="13"/>
        <v>0</v>
      </c>
      <c r="BN10" s="319" t="b">
        <f t="shared" si="14"/>
        <v>0</v>
      </c>
      <c r="BO10" s="319" t="b">
        <f t="shared" si="15"/>
        <v>0</v>
      </c>
      <c r="BP10" s="319" t="b">
        <f t="shared" si="16"/>
        <v>0</v>
      </c>
      <c r="BQ10" s="319" t="b">
        <f t="shared" si="17"/>
        <v>0</v>
      </c>
      <c r="BR10" s="319" t="b">
        <f t="shared" si="18"/>
        <v>0</v>
      </c>
      <c r="BS10" s="319">
        <f t="shared" si="19"/>
        <v>279</v>
      </c>
      <c r="BT10" s="319" t="b">
        <f t="shared" si="20"/>
        <v>0</v>
      </c>
      <c r="BU10" s="319">
        <f t="shared" si="21"/>
        <v>115.506</v>
      </c>
      <c r="BV10" s="319" t="b">
        <f t="shared" si="22"/>
        <v>0</v>
      </c>
      <c r="BW10" s="319" t="b">
        <f t="shared" si="23"/>
        <v>0</v>
      </c>
      <c r="BX10" s="319" t="b">
        <f t="shared" si="24"/>
        <v>0</v>
      </c>
      <c r="BY10" s="319" t="b">
        <f t="shared" si="25"/>
        <v>0</v>
      </c>
      <c r="BZ10" s="319" t="b">
        <f t="shared" si="26"/>
        <v>0</v>
      </c>
      <c r="CA10" s="319" t="b">
        <f t="shared" si="27"/>
        <v>0</v>
      </c>
      <c r="CB10" s="319" t="b">
        <f t="shared" si="28"/>
        <v>0</v>
      </c>
      <c r="CC10" s="319" t="b">
        <f t="shared" si="29"/>
        <v>0</v>
      </c>
      <c r="CD10" s="319" t="b">
        <f t="shared" si="30"/>
        <v>0</v>
      </c>
      <c r="CE10" s="319" t="b">
        <f t="shared" si="31"/>
        <v>0</v>
      </c>
      <c r="CF10" s="319">
        <f t="shared" si="32"/>
        <v>0.80520277500000004</v>
      </c>
    </row>
    <row r="11" spans="1:84" ht="17.25" customHeight="1">
      <c r="A11" s="991">
        <v>7</v>
      </c>
      <c r="B11" s="566">
        <f>SUM($C$5:C11)</f>
        <v>7</v>
      </c>
      <c r="C11" s="503">
        <f t="shared" ref="C11:C12" si="38">IF(ISTEXT(D11),1)</f>
        <v>1</v>
      </c>
      <c r="D11" s="993" t="s">
        <v>600</v>
      </c>
      <c r="E11" s="857" t="s">
        <v>578</v>
      </c>
      <c r="F11" s="858">
        <v>1956</v>
      </c>
      <c r="G11" s="848">
        <v>324</v>
      </c>
      <c r="H11" s="88"/>
      <c r="I11" s="88">
        <v>2</v>
      </c>
      <c r="J11" s="88">
        <f>IF(F11&lt;=1966,'Założenia,wskaźniki, listy'!$H$4,IF(F11&gt;1966,IF(F11&lt;=1985,'Założenia,wskaźniki, listy'!$H$5,IF(F11&gt;1985,IF(F11&lt;=1992,'Założenia,wskaźniki, listy'!$H$6,IF(F11&gt;1992,IF(F11&lt;=1996,'Założenia,wskaźniki, listy'!$H$7,IF(F11&gt;1996,IF(F11&lt;=2013,'Założenia,wskaźniki, listy'!$H$8)))))))))</f>
        <v>290</v>
      </c>
      <c r="K11" s="864" t="s">
        <v>31</v>
      </c>
      <c r="L11" s="88" t="s">
        <v>8</v>
      </c>
      <c r="M11" s="88">
        <v>1</v>
      </c>
      <c r="N11" s="567"/>
      <c r="O11" s="567"/>
      <c r="P11" s="88"/>
      <c r="Q11" s="480">
        <f t="shared" si="2"/>
        <v>180.43299999999999</v>
      </c>
      <c r="R11" s="249">
        <f>IF(K11="kompletna",J11*G11*0.0036*'Założenia,wskaźniki, listy'!$C$15,IF(K11="częściowa",J11*G11*0.0036*'Założenia,wskaźniki, listy'!$C$16,IF(K11="brak",J11*G11*0.0036*'Założenia,wskaźniki, listy'!$C$17,0)))</f>
        <v>338.25599999999997</v>
      </c>
      <c r="S11" s="249">
        <f>H11*'Założenia,wskaźniki, listy'!$L$16</f>
        <v>0</v>
      </c>
      <c r="T11" s="249">
        <f>IF(L11="węgiel",M11*'Założenia,wskaźniki, listy'!$B$4,IF(L11="gaz",M11*'Założenia,wskaźniki, listy'!$B$5,IF(L11="drewno",M11*'Założenia,wskaźniki, listy'!$B$6,IF(L11="pelet",M11*'Założenia,wskaźniki, listy'!$B$7,IF(L11="olej opałowy",M11*'Założenia,wskaźniki, listy'!$B$8,IF(L11="sieć ciepłownicza",0,0))))))</f>
        <v>22.61</v>
      </c>
      <c r="U11" s="283">
        <f>IF(L11="węgiel",T11*'Założenia,wskaźniki, listy'!$C$44,IF(L11="gaz",T11*'Założenia,wskaźniki, listy'!$D$44,IF(L11="drewno",T11*'Założenia,wskaźniki, listy'!$E$44,IF(L11="pelet",T11*'Założenia,wskaźniki, listy'!$F$44,IF(L11="olej opałowy",T11*'Założenia,wskaźniki, listy'!$G$44,IF(L11="sieć ciepłownicza",0,IF(L11="prąd",0,0)))))))</f>
        <v>5.0872499999999998E-3</v>
      </c>
      <c r="V11" s="283">
        <f>IF(L11="węgiel",T11*'Założenia,wskaźniki, listy'!$C$45,IF(L11="gaz",T11*'Założenia,wskaźniki, listy'!$D$45,IF(L11="drewno",T11*'Założenia,wskaźniki, listy'!$E$45,IF(L11="pelet",T11*'Założenia,wskaźniki, listy'!$F$45,IF(L11="olej opałowy",T11*'Założenia,wskaźniki, listy'!$G$45,IF(L11="sieć ciepłownicza",0,IF(L11="prąd",0,0)))))))</f>
        <v>4.5446100000000001E-3</v>
      </c>
      <c r="W11" s="568">
        <f>IF(L11="węgiel",T11*'Założenia,wskaźniki, listy'!$C$46,IF(L11="gaz",T11*'Założenia,wskaźniki, listy'!$D$46,IF(L11="drewno",T11*'Założenia,wskaźniki, listy'!$E$46,IF(L11="pelet",T11*'Założenia,wskaźniki, listy'!$F$46,IF(L11="olej opałowy",T11*'Założenia,wskaźniki, listy'!$G$46,IF(L11="sieć ciepłownicza",0,IF(L11="prąd",0,0)))))))</f>
        <v>2.1194613999999996</v>
      </c>
      <c r="X11" s="568">
        <f>IF(L11="węgiel",T11*'Założenia,wskaźniki, listy'!$C$47,IF(L11="gaz",T11*'Założenia,wskaźniki, listy'!$D$47,IF(L11="drewno",T11*'Założenia,wskaźniki, listy'!$E$47,IF(L11="pelet",T11*'Założenia,wskaźniki, listy'!$F$47,IF(L11="olej opałowy",T11*'Założenia,wskaźniki, listy'!$G$47,IF(L11="sieć ciepłownicza",0,IF(L11="prąd",0,0)))))))</f>
        <v>6.1047000000000002E-6</v>
      </c>
      <c r="Y11" s="568">
        <f>IF(L11="węgiel",T11*'Założenia,wskaźniki, listy'!$C$48,IF(L11="gaz",T11*'Założenia,wskaźniki, listy'!$D$48,IF(L11="drewno",T11*'Założenia,wskaźniki, listy'!$E$48,IF(L11="pelet",T11*'Założenia,wskaźniki, listy'!$F$48,IF(L11="olej opałowy",T11*'Założenia,wskaźniki, listy'!$G$48,IF(L11="sieć ciepłownicza",0,IF(L11="prąd",0,0)))))))</f>
        <v>2.0348999999999999E-2</v>
      </c>
      <c r="Z11" s="568">
        <f>IF(L11="węgiel",T11*'Założenia,wskaźniki, listy'!$C$49,IF(L11="gaz",T11*'Założenia,wskaźniki, listy'!$D$49,IF(L11="drewno",T11*'Założenia,wskaźniki, listy'!$E$49,IF(L11="pelet",T11*'Założenia,wskaźniki, listy'!$F$49,IF(L11="olej opałowy",T11*'Założenia,wskaźniki, listy'!$G$49,IF(L11="sieć ciepłownicza",0,IF(L11="prąd",0,0)))))))</f>
        <v>3.5723799999999996E-3</v>
      </c>
      <c r="AA11" s="568">
        <f>IF(L11="węgiel",T11*'Założenia,wskaźniki, listy'!$C$50,IF(L11="gaz",T11*'Założenia,wskaźniki, listy'!$D$50,IF(L11="drewno",T11*'Założenia,wskaźniki, listy'!$E$50,IF(L11="pelet",T11*'Założenia,wskaźniki, listy'!$F$50,IF(L11="olej opałowy",T11*'Założenia,wskaźniki, listy'!$G$50,IF(L11="sieć ciepłownicza",0,IF(L11="prąd",0,0)))))))</f>
        <v>4.5482789450156456E-2</v>
      </c>
      <c r="AB11" s="283">
        <f>IF(L11="węgiel",T11*Z!$C$44,IF(L11="gaz",T11*Z!$D$44,IF(L11="drewno",T11*Z!$E$44,IF(L11="pelet",T11*Z!$F$44,IF(L11="olej opałowy",T11*Z!$G$44,IF(L11="sieć ciepłownicza",0,IF(L11="prąd",0,0)))))))</f>
        <v>4.2959000000000001E-3</v>
      </c>
      <c r="AC11" s="283">
        <f>IF(L11="węgiel",T11*Z!$C$45,IF(L11="gaz",T11*Z!$D$45,IF(L11="drewno",T11*Z!$E$45,IF(L11="pelet",T11*Z!$F$45,IF(L11="olej opałowy",T11*Z!$G$45,IF(L11="sieć ciepłownicza",0,IF(L11="prąd",0,0)))))))</f>
        <v>3.8437000000000002E-3</v>
      </c>
      <c r="AD11" s="568">
        <f>IF(L11="węgiel",T11*Z!$C$46,IF(L11="gaz",T11*Z!$D$46,IF(L11="drewno",T11*Z!$E$46,IF(L11="pelet",T11*Z!$F$46,IF(L11="olej opałowy",T11*Z!$G$46,IF(L11="sieć ciepłownicza",0,IF(L11="prąd",0,0)))))))</f>
        <v>2.1194613999999996</v>
      </c>
      <c r="AE11" s="568">
        <f>IF(L11="węgiel",T11*Z!$C$47,IF(L11="gaz",T11*Z!$D$47,IF(L11="drewno",T11*Z!$E$47,IF(L11="pelet",T11*Z!$F$47,IF(L11="olej opałowy",T11*Z!$G$47,IF(L11="sieć ciepłownicza",0,IF(L11="prąd",0,0)))))))</f>
        <v>2.261E-6</v>
      </c>
      <c r="AF11" s="568">
        <f>IF(L11="węgiel",T11*Z!$C$48,IF(L11="gaz",T11*Z!$D$48,IF(L11="drewno",T11*Z!$E$48,IF(L11="pelet",T11*Z!$F$48,IF(L11="olej opałowy",T11*Z!$G$48,IF(L11="sieć ciepłownicza",0,IF(L11="prąd",0,0)))))))</f>
        <v>2.0348999999999999E-2</v>
      </c>
      <c r="AG11" s="568">
        <f>IF(L11="węgiel",T11*Z!$C$49,IF(L11="gaz",T11*Z!$D$49,IF(L11="drewno",T11*Z!$E$49,IF(L11="pelet",T11*Z!$F$49,IF(L11="olej opałowy",T11*Z!$G$49,IF(L11="sieć ciepłownicza",0,IF(L11="prąd",0,0)))))))</f>
        <v>3.6176000000000003E-3</v>
      </c>
      <c r="AH11" s="568">
        <f>IF(L11="węgiel",T11*Z!$C$50,IF(L11="gaz",T11*Z!$D$50,IF(L11="drewno",T11*Z!$E$50,IF(L11="pelet",T11*Z!$F$50,IF(L11="olej opałowy",T11*Z!$G$50,IF(L11="sieć ciepłownicza",0,IF(L11="prąd",0,0)))))))</f>
        <v>4.5482789450156456E-2</v>
      </c>
      <c r="AI11" s="568">
        <f>IF(P11="węgiel",S11*'Założenia,wskaźniki, listy'!$C$44,IF(P11="gaz",S11*'Założenia,wskaźniki, listy'!$D$44,IF(P11="drewno",S11*'Założenia,wskaźniki, listy'!$E$44,IF(P11="pelet",S11*'Założenia,wskaźniki, listy'!$F$44,IF(P11="olej opałowy",S11*'Założenia,wskaźniki, listy'!$G$44,IF(P11="sieć ciepłownicza",0,IF(P11="prąd",0,0)))))))</f>
        <v>0</v>
      </c>
      <c r="AJ11" s="568">
        <f>IF(Q11="węgiel",T11*'Założenia,wskaźniki, listy'!$C$45,IF(Q11="gaz",T11*'Założenia,wskaźniki, listy'!$D$45,IF(Q11="drewno",T11*'Założenia,wskaźniki, listy'!$E$45,IF(Q11="pelet",T11*'Założenia,wskaźniki, listy'!$F$45,IF(Q11="olej opałowy",T11*'Założenia,wskaźniki, listy'!$G$45,IF(Q11="sieć ciepłownicza",0,IF(Q11="prąd",0,0)))))))</f>
        <v>0</v>
      </c>
      <c r="AK11" s="568">
        <f>IF(Q11="węgiel",T11*'Założenia,wskaźniki, listy'!$C$46,IF(Q11="gaz",T11*'Założenia,wskaźniki, listy'!$D$46,IF(Q11="drewno",T11*'Założenia,wskaźniki, listy'!$E$46,IF(Q11="pelet",T11*'Założenia,wskaźniki, listy'!$F$46,IF(Q11="olej opałowy",T11*'Założenia,wskaźniki, listy'!$G$46,IF(Q11="sieć ciepłownicza",0,IF(Q11="prąd",0,0)))))))</f>
        <v>0</v>
      </c>
      <c r="AL11" s="568">
        <f>IF(Q11="węgiel",T11*'Założenia,wskaźniki, listy'!$C$47,IF(Q11="gaz",T11*'Założenia,wskaźniki, listy'!$D$47,IF(Q11="drewno",T11*'Założenia,wskaźniki, listy'!$E$47,IF(Q11="pelet",T11*'Założenia,wskaźniki, listy'!$F$47,IF(Q11="olej opałowy",T11*'Założenia,wskaźniki, listy'!$G$47,IF(Q11="sieć ciepłownicza",0,IF(Q11="prąd",0,0)))))))</f>
        <v>0</v>
      </c>
      <c r="AM11" s="568">
        <f>IF(Q11="węgiel",T11*'Założenia,wskaźniki, listy'!$C$48,IF(Q11="gaz",T11*'Założenia,wskaźniki, listy'!$D$48,IF(Q11="drewno",T11*'Założenia,wskaźniki, listy'!$E$48,IF(Q11="pelet",T11*'Założenia,wskaźniki, listy'!$F$48,IF(Q11="olej opałowy",T11*'Założenia,wskaźniki, listy'!$G$48,IF(Q11="sieć ciepłownicza",0,IF(Q11="prąd",0,0)))))))</f>
        <v>0</v>
      </c>
      <c r="AN11" s="568">
        <f>IF(Q11="węgiel",T11*'Założenia,wskaźniki, listy'!$C$49,IF(Q11="gaz",T11*'Założenia,wskaźniki, listy'!$D$49,IF(Q11="drewno",T11*'Założenia,wskaźniki, listy'!$E$49,IF(Q11="pelet",T11*'Założenia,wskaźniki, listy'!$F$49,IF(Q11="olej opałowy",T11*'Założenia,wskaźniki, listy'!$G$49,IF(Q11="sieć ciepłownicza",0,IF(Q11="prąd",0,0)))))))</f>
        <v>0</v>
      </c>
      <c r="AO11" s="568">
        <f>IF(Q11="węgiel",T11*'Założenia,wskaźniki, listy'!$C$50,IF(Q11="gaz",T11*'Założenia,wskaźniki, listy'!$D$50,IF(Q11="drewno",T11*'Założenia,wskaźniki, listy'!$E$50,IF(Q11="pelet",T11*'Założenia,wskaźniki, listy'!$F$50,IF(Q11="olej opałowy",T11*'Założenia,wskaźniki, listy'!$G$50,IF(Q11="sieć ciepłownicza",0,IF(Q11="prąd",0,0)))))))</f>
        <v>0</v>
      </c>
      <c r="AP11" s="568">
        <v>1.6</v>
      </c>
      <c r="AQ11" s="575">
        <v>0.8</v>
      </c>
      <c r="AR11" s="283">
        <f t="shared" si="3"/>
        <v>5.0872499999999998E-3</v>
      </c>
      <c r="AS11" s="283">
        <f t="shared" si="4"/>
        <v>4.5446100000000001E-3</v>
      </c>
      <c r="AT11" s="568">
        <f>IF(P11="energia el.",(IF(O11&gt;=50,AD11,W11)+AP11*Z!$J$46),(IF(O11&gt;=50,AD11,W11)+AP11*Z!$J$46))</f>
        <v>3.4498613999999996</v>
      </c>
      <c r="AU11" s="568">
        <f t="shared" si="5"/>
        <v>6.1047000000000002E-6</v>
      </c>
      <c r="AV11" s="568">
        <f t="shared" si="6"/>
        <v>2.0348999999999999E-2</v>
      </c>
      <c r="AW11" s="568">
        <f t="shared" si="7"/>
        <v>3.5723799999999996E-3</v>
      </c>
      <c r="AX11" s="568">
        <f t="shared" si="8"/>
        <v>4.5482789450156456E-2</v>
      </c>
      <c r="AY11" s="88" t="s">
        <v>88</v>
      </c>
      <c r="AZ11" s="567"/>
      <c r="BA11" s="564"/>
      <c r="BB11" s="567" t="s">
        <v>109</v>
      </c>
      <c r="BC11" s="567" t="s">
        <v>3</v>
      </c>
      <c r="BD11" s="567"/>
      <c r="BE11" s="567" t="s">
        <v>109</v>
      </c>
      <c r="BF11" s="567" t="s">
        <v>88</v>
      </c>
      <c r="BG11" s="567">
        <v>2023</v>
      </c>
      <c r="BH11" s="567"/>
      <c r="BI11" s="308">
        <f t="shared" si="9"/>
        <v>22.61</v>
      </c>
      <c r="BJ11" s="308" t="b">
        <f t="shared" si="10"/>
        <v>0</v>
      </c>
      <c r="BK11" s="319">
        <f t="shared" si="11"/>
        <v>324</v>
      </c>
      <c r="BL11" s="319" t="b">
        <f t="shared" si="12"/>
        <v>0</v>
      </c>
      <c r="BM11" s="319" t="b">
        <f t="shared" si="13"/>
        <v>0</v>
      </c>
      <c r="BN11" s="319" t="b">
        <f t="shared" si="14"/>
        <v>0</v>
      </c>
      <c r="BO11" s="319" t="b">
        <f t="shared" si="15"/>
        <v>0</v>
      </c>
      <c r="BP11" s="319" t="b">
        <f t="shared" si="16"/>
        <v>0</v>
      </c>
      <c r="BQ11" s="319" t="b">
        <f t="shared" si="17"/>
        <v>0</v>
      </c>
      <c r="BR11" s="319" t="b">
        <f t="shared" si="18"/>
        <v>0</v>
      </c>
      <c r="BS11" s="319" t="b">
        <f t="shared" si="19"/>
        <v>0</v>
      </c>
      <c r="BT11" s="319" t="b">
        <f t="shared" si="20"/>
        <v>0</v>
      </c>
      <c r="BU11" s="319">
        <f t="shared" si="21"/>
        <v>22.61</v>
      </c>
      <c r="BV11" s="319" t="b">
        <f t="shared" si="22"/>
        <v>0</v>
      </c>
      <c r="BW11" s="319" t="b">
        <f t="shared" si="23"/>
        <v>0</v>
      </c>
      <c r="BX11" s="319" t="b">
        <f t="shared" si="24"/>
        <v>0</v>
      </c>
      <c r="BY11" s="319" t="b">
        <f t="shared" si="25"/>
        <v>0</v>
      </c>
      <c r="BZ11" s="319" t="b">
        <f t="shared" si="26"/>
        <v>0</v>
      </c>
      <c r="CA11" s="319" t="b">
        <f t="shared" si="27"/>
        <v>0</v>
      </c>
      <c r="CB11" s="319" t="b">
        <f t="shared" si="28"/>
        <v>0</v>
      </c>
      <c r="CC11" s="319" t="b">
        <f t="shared" si="29"/>
        <v>0</v>
      </c>
      <c r="CD11" s="319" t="b">
        <f t="shared" si="30"/>
        <v>0</v>
      </c>
      <c r="CE11" s="319" t="b">
        <f t="shared" si="31"/>
        <v>0</v>
      </c>
      <c r="CF11" s="319" t="b">
        <f t="shared" si="32"/>
        <v>0</v>
      </c>
    </row>
    <row r="12" spans="1:84" ht="17.25" customHeight="1">
      <c r="A12" s="992"/>
      <c r="B12" s="847">
        <f>SUM($C$5:C12)</f>
        <v>7</v>
      </c>
      <c r="C12" s="503" t="b">
        <f t="shared" si="38"/>
        <v>0</v>
      </c>
      <c r="D12" s="994"/>
      <c r="F12" s="847"/>
      <c r="G12" s="847"/>
      <c r="H12" s="88"/>
      <c r="I12" s="88"/>
      <c r="J12" s="88">
        <f>IF(F12&lt;=1966,'Założenia,wskaźniki, listy'!$H$4,IF(F12&gt;1966,IF(F12&lt;=1985,'Założenia,wskaźniki, listy'!$H$5,IF(F12&gt;1985,IF(F12&lt;=1992,'Założenia,wskaźniki, listy'!$H$6,IF(F12&gt;1992,IF(F12&lt;=1996,'Założenia,wskaźniki, listy'!$H$7,IF(F12&gt;1996,IF(F12&lt;=2013,'Założenia,wskaźniki, listy'!$H$8)))))))))</f>
        <v>290</v>
      </c>
      <c r="K12" s="864"/>
      <c r="L12" s="88"/>
      <c r="M12" s="88"/>
      <c r="N12" s="850"/>
      <c r="O12" s="850"/>
      <c r="P12" s="88"/>
      <c r="Q12" s="480">
        <f t="shared" ref="Q12" si="39">IF(R12&gt;0,(S12+T12+R12)/2,S12+T12)</f>
        <v>0</v>
      </c>
      <c r="R12" s="249">
        <f>IF(K12="kompletna",J12*G12*0.0036*'Założenia,wskaźniki, listy'!$C$15,IF(K12="częściowa",J12*G12*0.0036*'Założenia,wskaźniki, listy'!$C$16,IF(K12="brak",J12*G12*0.0036*'Założenia,wskaźniki, listy'!$C$17,0)))</f>
        <v>0</v>
      </c>
      <c r="S12" s="249">
        <f>H12*'Założenia,wskaźniki, listy'!$L$16</f>
        <v>0</v>
      </c>
      <c r="T12" s="249">
        <f>IF(L12="węgiel",M12*'Założenia,wskaźniki, listy'!$B$4,IF(L12="gaz",M12*'Założenia,wskaźniki, listy'!$B$5,IF(L12="drewno",M12*'Założenia,wskaźniki, listy'!$B$6,IF(L12="pelet",M12*'Założenia,wskaźniki, listy'!$B$7,IF(L12="olej opałowy",M12*'Założenia,wskaźniki, listy'!$B$8,IF(L12="sieć ciepłownicza",0,0))))))</f>
        <v>0</v>
      </c>
      <c r="U12" s="849">
        <f>IF(L12="węgiel",T12*'Założenia,wskaźniki, listy'!$C$44,IF(L12="gaz",T12*'Założenia,wskaźniki, listy'!$D$44,IF(L12="drewno",T12*'Założenia,wskaźniki, listy'!$E$44,IF(L12="pelet",T12*'Założenia,wskaźniki, listy'!$F$44,IF(L12="olej opałowy",T12*'Założenia,wskaźniki, listy'!$G$44,IF(L12="sieć ciepłownicza",0,IF(L12="prąd",0,0)))))))</f>
        <v>0</v>
      </c>
      <c r="V12" s="849">
        <f>IF(L12="węgiel",T12*'Założenia,wskaźniki, listy'!$C$45,IF(L12="gaz",T12*'Założenia,wskaźniki, listy'!$D$45,IF(L12="drewno",T12*'Założenia,wskaźniki, listy'!$E$45,IF(L12="pelet",T12*'Założenia,wskaźniki, listy'!$F$45,IF(L12="olej opałowy",T12*'Założenia,wskaźniki, listy'!$G$45,IF(L12="sieć ciepłownicza",0,IF(L12="prąd",0,0)))))))</f>
        <v>0</v>
      </c>
      <c r="W12" s="849">
        <f>IF(L12="węgiel",T12*'Założenia,wskaźniki, listy'!$C$46,IF(L12="gaz",T12*'Założenia,wskaźniki, listy'!$D$46,IF(L12="drewno",T12*'Założenia,wskaźniki, listy'!$E$46,IF(L12="pelet",T12*'Założenia,wskaźniki, listy'!$F$46,IF(L12="olej opałowy",T12*'Założenia,wskaźniki, listy'!$G$46,IF(L12="sieć ciepłownicza",0,IF(L12="prąd",0,0)))))))</f>
        <v>0</v>
      </c>
      <c r="X12" s="849">
        <f>IF(L12="węgiel",T12*'Założenia,wskaźniki, listy'!$C$47,IF(L12="gaz",T12*'Założenia,wskaźniki, listy'!$D$47,IF(L12="drewno",T12*'Założenia,wskaźniki, listy'!$E$47,IF(L12="pelet",T12*'Założenia,wskaźniki, listy'!$F$47,IF(L12="olej opałowy",T12*'Założenia,wskaźniki, listy'!$G$47,IF(L12="sieć ciepłownicza",0,IF(L12="prąd",0,0)))))))</f>
        <v>0</v>
      </c>
      <c r="Y12" s="849">
        <f>IF(L12="węgiel",T12*'Założenia,wskaźniki, listy'!$C$48,IF(L12="gaz",T12*'Założenia,wskaźniki, listy'!$D$48,IF(L12="drewno",T12*'Założenia,wskaźniki, listy'!$E$48,IF(L12="pelet",T12*'Założenia,wskaźniki, listy'!$F$48,IF(L12="olej opałowy",T12*'Założenia,wskaźniki, listy'!$G$48,IF(L12="sieć ciepłownicza",0,IF(L12="prąd",0,0)))))))</f>
        <v>0</v>
      </c>
      <c r="Z12" s="849">
        <f>IF(L12="węgiel",T12*'Założenia,wskaźniki, listy'!$C$49,IF(L12="gaz",T12*'Założenia,wskaźniki, listy'!$D$49,IF(L12="drewno",T12*'Założenia,wskaźniki, listy'!$E$49,IF(L12="pelet",T12*'Założenia,wskaźniki, listy'!$F$49,IF(L12="olej opałowy",T12*'Założenia,wskaźniki, listy'!$G$49,IF(L12="sieć ciepłownicza",0,IF(L12="prąd",0,0)))))))</f>
        <v>0</v>
      </c>
      <c r="AA12" s="849">
        <f>IF(L12="węgiel",T12*'Założenia,wskaźniki, listy'!$C$50,IF(L12="gaz",T12*'Założenia,wskaźniki, listy'!$D$50,IF(L12="drewno",T12*'Założenia,wskaźniki, listy'!$E$50,IF(L12="pelet",T12*'Założenia,wskaźniki, listy'!$F$50,IF(L12="olej opałowy",T12*'Założenia,wskaźniki, listy'!$G$50,IF(L12="sieć ciepłownicza",0,IF(L12="prąd",0,0)))))))</f>
        <v>0</v>
      </c>
      <c r="AB12" s="849">
        <f>IF(L12="węgiel",T12*Z!$C$44,IF(L12="gaz",T12*Z!$D$44,IF(L12="drewno",T12*Z!$E$44,IF(L12="pelet",T12*Z!$F$44,IF(L12="olej opałowy",T12*Z!$G$44,IF(L12="sieć ciepłownicza",0,IF(L12="prąd",0,0)))))))</f>
        <v>0</v>
      </c>
      <c r="AC12" s="849">
        <f>IF(L12="węgiel",T12*Z!$C$45,IF(L12="gaz",T12*Z!$D$45,IF(L12="drewno",T12*Z!$E$45,IF(L12="pelet",T12*Z!$F$45,IF(L12="olej opałowy",T12*Z!$G$45,IF(L12="sieć ciepłownicza",0,IF(L12="prąd",0,0)))))))</f>
        <v>0</v>
      </c>
      <c r="AD12" s="849">
        <f>IF(L12="węgiel",T12*Z!$C$46,IF(L12="gaz",T12*Z!$D$46,IF(L12="drewno",T12*Z!$E$46,IF(L12="pelet",T12*Z!$F$46,IF(L12="olej opałowy",T12*Z!$G$46,IF(L12="sieć ciepłownicza",0,IF(L12="prąd",0,0)))))))</f>
        <v>0</v>
      </c>
      <c r="AE12" s="849">
        <f>IF(L12="węgiel",T12*Z!$C$47,IF(L12="gaz",T12*Z!$D$47,IF(L12="drewno",T12*Z!$E$47,IF(L12="pelet",T12*Z!$F$47,IF(L12="olej opałowy",T12*Z!$G$47,IF(L12="sieć ciepłownicza",0,IF(L12="prąd",0,0)))))))</f>
        <v>0</v>
      </c>
      <c r="AF12" s="849">
        <f>IF(L12="węgiel",T12*Z!$C$48,IF(L12="gaz",T12*Z!$D$48,IF(L12="drewno",T12*Z!$E$48,IF(L12="pelet",T12*Z!$F$48,IF(L12="olej opałowy",T12*Z!$G$48,IF(L12="sieć ciepłownicza",0,IF(L12="prąd",0,0)))))))</f>
        <v>0</v>
      </c>
      <c r="AG12" s="849">
        <f>IF(L12="węgiel",T12*Z!$C$49,IF(L12="gaz",T12*Z!$D$49,IF(L12="drewno",T12*Z!$E$49,IF(L12="pelet",T12*Z!$F$49,IF(L12="olej opałowy",T12*Z!$G$49,IF(L12="sieć ciepłownicza",0,IF(L12="prąd",0,0)))))))</f>
        <v>0</v>
      </c>
      <c r="AH12" s="849">
        <f>IF(L12="węgiel",T12*Z!$C$50,IF(L12="gaz",T12*Z!$D$50,IF(L12="drewno",T12*Z!$E$50,IF(L12="pelet",T12*Z!$F$50,IF(L12="olej opałowy",T12*Z!$G$50,IF(L12="sieć ciepłownicza",0,IF(L12="prąd",0,0)))))))</f>
        <v>0</v>
      </c>
      <c r="AI12" s="849">
        <f>IF(P12="węgiel",S12*'Założenia,wskaźniki, listy'!$C$44,IF(P12="gaz",S12*'Założenia,wskaźniki, listy'!$D$44,IF(P12="drewno",S12*'Założenia,wskaźniki, listy'!$E$44,IF(P12="pelet",S12*'Założenia,wskaźniki, listy'!$F$44,IF(P12="olej opałowy",S12*'Założenia,wskaźniki, listy'!$G$44,IF(P12="sieć ciepłownicza",0,IF(P12="prąd",0,0)))))))</f>
        <v>0</v>
      </c>
      <c r="AJ12" s="849">
        <f>IF(Q12="węgiel",T12*'Założenia,wskaźniki, listy'!$C$45,IF(Q12="gaz",T12*'Założenia,wskaźniki, listy'!$D$45,IF(Q12="drewno",T12*'Założenia,wskaźniki, listy'!$E$45,IF(Q12="pelet",T12*'Założenia,wskaźniki, listy'!$F$45,IF(Q12="olej opałowy",T12*'Założenia,wskaźniki, listy'!$G$45,IF(Q12="sieć ciepłownicza",0,IF(Q12="prąd",0,0)))))))</f>
        <v>0</v>
      </c>
      <c r="AK12" s="849">
        <f>IF(Q12="węgiel",T12*'Założenia,wskaźniki, listy'!$C$46,IF(Q12="gaz",T12*'Założenia,wskaźniki, listy'!$D$46,IF(Q12="drewno",T12*'Założenia,wskaźniki, listy'!$E$46,IF(Q12="pelet",T12*'Założenia,wskaźniki, listy'!$F$46,IF(Q12="olej opałowy",T12*'Założenia,wskaźniki, listy'!$G$46,IF(Q12="sieć ciepłownicza",0,IF(Q12="prąd",0,0)))))))</f>
        <v>0</v>
      </c>
      <c r="AL12" s="849">
        <f>IF(Q12="węgiel",T12*'Założenia,wskaźniki, listy'!$C$47,IF(Q12="gaz",T12*'Założenia,wskaźniki, listy'!$D$47,IF(Q12="drewno",T12*'Założenia,wskaźniki, listy'!$E$47,IF(Q12="pelet",T12*'Założenia,wskaźniki, listy'!$F$47,IF(Q12="olej opałowy",T12*'Założenia,wskaźniki, listy'!$G$47,IF(Q12="sieć ciepłownicza",0,IF(Q12="prąd",0,0)))))))</f>
        <v>0</v>
      </c>
      <c r="AM12" s="849">
        <f>IF(Q12="węgiel",T12*'Założenia,wskaźniki, listy'!$C$48,IF(Q12="gaz",T12*'Założenia,wskaźniki, listy'!$D$48,IF(Q12="drewno",T12*'Założenia,wskaźniki, listy'!$E$48,IF(Q12="pelet",T12*'Założenia,wskaźniki, listy'!$F$48,IF(Q12="olej opałowy",T12*'Założenia,wskaźniki, listy'!$G$48,IF(Q12="sieć ciepłownicza",0,IF(Q12="prąd",0,0)))))))</f>
        <v>0</v>
      </c>
      <c r="AN12" s="849">
        <f>IF(Q12="węgiel",T12*'Założenia,wskaźniki, listy'!$C$49,IF(Q12="gaz",T12*'Założenia,wskaźniki, listy'!$D$49,IF(Q12="drewno",T12*'Założenia,wskaźniki, listy'!$E$49,IF(Q12="pelet",T12*'Założenia,wskaźniki, listy'!$F$49,IF(Q12="olej opałowy",T12*'Założenia,wskaźniki, listy'!$G$49,IF(Q12="sieć ciepłownicza",0,IF(Q12="prąd",0,0)))))))</f>
        <v>0</v>
      </c>
      <c r="AO12" s="849">
        <f>IF(Q12="węgiel",T12*'Założenia,wskaźniki, listy'!$C$50,IF(Q12="gaz",T12*'Założenia,wskaźniki, listy'!$D$50,IF(Q12="drewno",T12*'Założenia,wskaźniki, listy'!$E$50,IF(Q12="pelet",T12*'Założenia,wskaźniki, listy'!$F$50,IF(Q12="olej opałowy",T12*'Założenia,wskaźniki, listy'!$G$50,IF(Q12="sieć ciepłownicza",0,IF(Q12="prąd",0,0)))))))</f>
        <v>0</v>
      </c>
      <c r="AP12" s="849"/>
      <c r="AQ12" s="849"/>
      <c r="AR12" s="849">
        <f t="shared" ref="AR12" si="40">AI12+IF(O12&gt;=50,AB12,U12)</f>
        <v>0</v>
      </c>
      <c r="AS12" s="849">
        <f t="shared" ref="AS12" si="41">AJ12+IF(O12&gt;=50,AC12,V12)</f>
        <v>0</v>
      </c>
      <c r="AT12" s="849">
        <f>IF(P12="energia el.",(IF(O12&gt;=50,AD12,W12)+AP12*Z!$J$46),(IF(O12&gt;=50,AD12,W12)+AP12*Z!$J$46))</f>
        <v>0</v>
      </c>
      <c r="AU12" s="849">
        <f t="shared" ref="AU12" si="42">AL12+IF(O12&gt;=50,AE12,X12)</f>
        <v>0</v>
      </c>
      <c r="AV12" s="849">
        <f t="shared" ref="AV12" si="43">AM12+IF(O12&gt;=50,AF12,Y12)</f>
        <v>0</v>
      </c>
      <c r="AW12" s="849">
        <f t="shared" ref="AW12" si="44">AN12+IF(O12&gt;=50,AG12,Z12)</f>
        <v>0</v>
      </c>
      <c r="AX12" s="849">
        <f t="shared" ref="AX12" si="45">AO12+IF(O12&gt;=50,AH12,AA12)</f>
        <v>0</v>
      </c>
      <c r="AY12" s="88"/>
      <c r="AZ12" s="850"/>
      <c r="BA12" s="583"/>
      <c r="BB12" s="850"/>
      <c r="BC12" s="850" t="s">
        <v>91</v>
      </c>
      <c r="BD12" s="850"/>
      <c r="BE12" s="850"/>
      <c r="BF12" s="850"/>
      <c r="BG12" s="850"/>
      <c r="BH12" s="850"/>
      <c r="BI12" s="308">
        <f t="shared" ref="BI12" si="46">IF(O12&lt;50,T12)</f>
        <v>0</v>
      </c>
      <c r="BJ12" s="308" t="b">
        <f t="shared" ref="BJ12" si="47">IF(O12&gt;=50,T12)</f>
        <v>0</v>
      </c>
      <c r="BK12" s="319">
        <f t="shared" ref="BK12" si="48">IF(F12&lt;=1966,G12)</f>
        <v>0</v>
      </c>
      <c r="BL12" s="319" t="b">
        <f t="shared" ref="BL12" si="49">IF(K12="kompletna",BK12,IF(K12="częściowa",0.5*BK12))</f>
        <v>0</v>
      </c>
      <c r="BM12" s="319" t="b">
        <f t="shared" ref="BM12" si="50">IF(F12&gt;1966,IF(F12&lt;=1985,G12))</f>
        <v>0</v>
      </c>
      <c r="BN12" s="319" t="b">
        <f t="shared" ref="BN12" si="51">IF(K12="kompletna",BM12,IF(K12="częściowa",0.5*BM12))</f>
        <v>0</v>
      </c>
      <c r="BO12" s="319" t="b">
        <f t="shared" ref="BO12" si="52">IF(F12&gt;1985,IF(F12&lt;=1992,G12))</f>
        <v>0</v>
      </c>
      <c r="BP12" s="319" t="b">
        <f t="shared" ref="BP12" si="53">IF(K12="kompletna",BO12,IF(K12="częściowa",0.5*BO12))</f>
        <v>0</v>
      </c>
      <c r="BQ12" s="319" t="b">
        <f t="shared" ref="BQ12" si="54">IF(F12&gt;1992,IF(F12&lt;=1996,G12))</f>
        <v>0</v>
      </c>
      <c r="BR12" s="319" t="b">
        <f t="shared" ref="BR12" si="55">IF(K12="kompletna",BQ12,IF(K12="częściowa",0.5*BQ12))</f>
        <v>0</v>
      </c>
      <c r="BS12" s="319" t="b">
        <f t="shared" ref="BS12" si="56">IF(F12&gt;1996,IF(F12&lt;=2014,G12))</f>
        <v>0</v>
      </c>
      <c r="BT12" s="319" t="b">
        <f t="shared" ref="BT12" si="57">IF(K12="kompletna",BS12,IF(K12="częściowa",0.5*BS12))</f>
        <v>0</v>
      </c>
      <c r="BU12" s="319" t="b">
        <f t="shared" ref="BU12" si="58">IF(L12="węgiel",T12)</f>
        <v>0</v>
      </c>
      <c r="BV12" s="319" t="b">
        <f t="shared" ref="BV12" si="59">IF(L12="gaz",Q12)</f>
        <v>0</v>
      </c>
      <c r="BW12" s="319" t="b">
        <f t="shared" ref="BW12" si="60">IF(L12="drewno",T12)</f>
        <v>0</v>
      </c>
      <c r="BX12" s="319" t="b">
        <f t="shared" ref="BX12" si="61">IF(L12="pelet",T12)</f>
        <v>0</v>
      </c>
      <c r="BY12" s="319" t="b">
        <f t="shared" ref="BY12" si="62">IF(L12="olej opałowy",T12)</f>
        <v>0</v>
      </c>
      <c r="BZ12" s="319" t="b">
        <f t="shared" ref="BZ12" si="63">IF(L12="energia el.",Q12)</f>
        <v>0</v>
      </c>
      <c r="CA12" s="319" t="b">
        <f t="shared" ref="CA12" si="64">IF(P12="węgiel",S12)</f>
        <v>0</v>
      </c>
      <c r="CB12" s="319" t="b">
        <f t="shared" ref="CB12" si="65">IF(P12="gaz",S12)</f>
        <v>0</v>
      </c>
      <c r="CC12" s="319" t="b">
        <f t="shared" ref="CC12" si="66">IF(P12="drewno",S12)</f>
        <v>0</v>
      </c>
      <c r="CD12" s="319" t="b">
        <f t="shared" ref="CD12" si="67">IF(P12="pelet",S12)</f>
        <v>0</v>
      </c>
      <c r="CE12" s="319" t="b">
        <f t="shared" ref="CE12" si="68">IF(P12="olej opałowy",S12)</f>
        <v>0</v>
      </c>
      <c r="CF12" s="319" t="b">
        <f t="shared" ref="CF12" si="69">IF(P12="energia el.",S12)</f>
        <v>0</v>
      </c>
    </row>
    <row r="13" spans="1:84" ht="17.25" customHeight="1">
      <c r="A13" s="531">
        <v>8</v>
      </c>
      <c r="B13" s="566">
        <f>SUM($C$5:C13)</f>
        <v>8</v>
      </c>
      <c r="C13" s="503">
        <f t="shared" si="36"/>
        <v>1</v>
      </c>
      <c r="D13" s="857" t="s">
        <v>579</v>
      </c>
      <c r="E13" s="857" t="s">
        <v>601</v>
      </c>
      <c r="F13" s="858">
        <v>1956</v>
      </c>
      <c r="G13" s="848">
        <v>177</v>
      </c>
      <c r="H13" s="88">
        <v>5</v>
      </c>
      <c r="I13" s="88"/>
      <c r="J13" s="88">
        <f>IF(F13&lt;=1966,'Założenia,wskaźniki, listy'!$H$4,IF(F13&gt;1966,IF(F13&lt;=1985,'Założenia,wskaźniki, listy'!$H$5,IF(F13&gt;1985,IF(F13&lt;=1992,'Założenia,wskaźniki, listy'!$H$6,IF(F13&gt;1992,IF(F13&lt;=1996,'Założenia,wskaźniki, listy'!$H$7,IF(F13&gt;1996,IF(F13&lt;=2013,'Założenia,wskaźniki, listy'!$H$8)))))))))</f>
        <v>290</v>
      </c>
      <c r="K13" s="864" t="s">
        <v>33</v>
      </c>
      <c r="L13" s="88" t="s">
        <v>79</v>
      </c>
      <c r="M13" s="88">
        <v>5</v>
      </c>
      <c r="N13" s="567"/>
      <c r="O13" s="567"/>
      <c r="P13" s="88" t="s">
        <v>313</v>
      </c>
      <c r="Q13" s="480">
        <f t="shared" si="2"/>
        <v>112.42170346875</v>
      </c>
      <c r="R13" s="249">
        <f>IF(K13="kompletna",J13*G13*0.0036*'Założenia,wskaźniki, listy'!$C$15,IF(K13="częściowa",J13*G13*0.0036*'Założenia,wskaźniki, listy'!$C$16,IF(K13="brak",J13*G13*0.0036*'Założenia,wskaźniki, listy'!$C$17,0)))</f>
        <v>147.8304</v>
      </c>
      <c r="S13" s="249">
        <f>H13*'Założenia,wskaźniki, listy'!$L$16</f>
        <v>2.0130069375000001</v>
      </c>
      <c r="T13" s="249">
        <f>IF(L13="węgiel",M13*'Założenia,wskaźniki, listy'!$B$4,IF(L13="gaz",M13*'Założenia,wskaźniki, listy'!$B$5,IF(L13="drewno",M13*'Założenia,wskaźniki, listy'!$B$6,IF(L13="pelet",M13*'Założenia,wskaźniki, listy'!$B$7,IF(L13="olej opałowy",M13*'Założenia,wskaźniki, listy'!$B$8,IF(L13="sieć ciepłownicza",0,0))))))</f>
        <v>75</v>
      </c>
      <c r="U13" s="568">
        <f>IF(L13="węgiel",T13*'Założenia,wskaźniki, listy'!$C$44,IF(L13="gaz",T13*'Założenia,wskaźniki, listy'!$D$44,IF(L13="drewno",T13*'Założenia,wskaźniki, listy'!$E$44,IF(L13="pelet",T13*'Założenia,wskaźniki, listy'!$F$44,IF(L13="olej opałowy",T13*'Założenia,wskaźniki, listy'!$G$44,IF(L13="sieć ciepłownicza",0,IF(L13="prąd",0,0)))))))</f>
        <v>3.6000000000000004E-2</v>
      </c>
      <c r="V13" s="568">
        <f>IF(L13="węgiel",T13*'Założenia,wskaźniki, listy'!$C$45,IF(L13="gaz",T13*'Założenia,wskaźniki, listy'!$D$45,IF(L13="drewno",T13*'Założenia,wskaźniki, listy'!$E$45,IF(L13="pelet",T13*'Założenia,wskaźniki, listy'!$F$45,IF(L13="olej opałowy",T13*'Założenia,wskaźniki, listy'!$G$45,IF(L13="sieć ciepłownicza",0,IF(L13="prąd",0,0)))))))</f>
        <v>3.5249999999999997E-2</v>
      </c>
      <c r="W13" s="568">
        <f>IF(L13="węgiel",T13*'Założenia,wskaźniki, listy'!$C$46,IF(L13="gaz",T13*'Założenia,wskaźniki, listy'!$D$46,IF(L13="drewno",T13*'Założenia,wskaźniki, listy'!$E$46,IF(L13="pelet",T13*'Założenia,wskaźniki, listy'!$F$46,IF(L13="olej opałowy",T13*'Założenia,wskaźniki, listy'!$G$46,IF(L13="sieć ciepłownicza",0,IF(L13="prąd",0,0)))))))</f>
        <v>0</v>
      </c>
      <c r="X13" s="568">
        <f>IF(L13="węgiel",T13*'Założenia,wskaźniki, listy'!$C$47,IF(L13="gaz",T13*'Założenia,wskaźniki, listy'!$D$47,IF(L13="drewno",T13*'Założenia,wskaźniki, listy'!$E$47,IF(L13="pelet",T13*'Założenia,wskaźniki, listy'!$F$47,IF(L13="olej opałowy",T13*'Założenia,wskaźniki, listy'!$G$47,IF(L13="sieć ciepłownicza",0,IF(L13="prąd",0,0)))))))</f>
        <v>9.0750000000000004E-6</v>
      </c>
      <c r="Y13" s="568">
        <f>IF(L13="węgiel",T13*'Założenia,wskaźniki, listy'!$C$48,IF(L13="gaz",T13*'Założenia,wskaźniki, listy'!$D$48,IF(L13="drewno",T13*'Założenia,wskaźniki, listy'!$E$48,IF(L13="pelet",T13*'Założenia,wskaźniki, listy'!$F$48,IF(L13="olej opałowy",T13*'Założenia,wskaźniki, listy'!$G$48,IF(L13="sieć ciepłownicza",0,IF(L13="prąd",0,0)))))))</f>
        <v>8.25E-4</v>
      </c>
      <c r="Z13" s="568">
        <f>IF(L13="węgiel",T13*'Założenia,wskaźniki, listy'!$C$49,IF(L13="gaz",T13*'Założenia,wskaźniki, listy'!$D$49,IF(L13="drewno",T13*'Założenia,wskaźniki, listy'!$E$49,IF(L13="pelet",T13*'Założenia,wskaźniki, listy'!$F$49,IF(L13="olej opałowy",T13*'Założenia,wskaźniki, listy'!$G$49,IF(L13="sieć ciepłownicza",0,IF(L13="prąd",0,0)))))))</f>
        <v>6.0000000000000001E-3</v>
      </c>
      <c r="AA13" s="568">
        <f>IF(L13="węgiel",T13*'Założenia,wskaźniki, listy'!$C$50,IF(L13="gaz",T13*'Założenia,wskaźniki, listy'!$D$50,IF(L13="drewno",T13*'Założenia,wskaźniki, listy'!$E$50,IF(L13="pelet",T13*'Założenia,wskaźniki, listy'!$F$50,IF(L13="olej opałowy",T13*'Założenia,wskaźniki, listy'!$G$50,IF(L13="sieć ciepłownicza",0,IF(L13="prąd",0,0)))))))</f>
        <v>1.3455E-2</v>
      </c>
      <c r="AB13" s="568">
        <f>IF(L13="węgiel",T13*Z!$C$44,IF(L13="gaz",T13*Z!$D$44,IF(L13="drewno",T13*Z!$E$44,IF(L13="pelet",T13*Z!$F$44,IF(L13="olej opałowy",T13*Z!$G$44,IF(L13="sieć ciepłownicza",0,IF(L13="prąd",0,0)))))))</f>
        <v>5.7000000000000002E-3</v>
      </c>
      <c r="AC13" s="568">
        <f>IF(L13="węgiel",T13*Z!$C$45,IF(L13="gaz",T13*Z!$D$45,IF(L13="drewno",T13*Z!$E$45,IF(L13="pelet",T13*Z!$F$45,IF(L13="olej opałowy",T13*Z!$G$45,IF(L13="sieć ciepłownicza",0,IF(L13="prąd",0,0)))))))</f>
        <v>5.7000000000000002E-3</v>
      </c>
      <c r="AD13" s="568">
        <f>IF(L13="węgiel",T13*Z!$C$46,IF(L13="gaz",T13*Z!$D$46,IF(L13="drewno",T13*Z!$E$46,IF(L13="pelet",T13*Z!$F$46,IF(L13="olej opałowy",T13*Z!$G$46,IF(L13="sieć ciepłownicza",0,IF(L13="prąd",0,0)))))))</f>
        <v>0</v>
      </c>
      <c r="AE13" s="568">
        <f>IF(L13="węgiel",T13*Z!$C$47,IF(L13="gaz",T13*Z!$D$47,IF(L13="drewno",T13*Z!$E$47,IF(L13="pelet",T13*Z!$F$47,IF(L13="olej opałowy",T13*Z!$G$47,IF(L13="sieć ciepłownicza",0,IF(L13="prąd",0,0)))))))</f>
        <v>3.7499999999999997E-6</v>
      </c>
      <c r="AF13" s="568">
        <f>IF(L13="węgiel",T13*Z!$C$48,IF(L13="gaz",T13*Z!$D$48,IF(L13="drewno",T13*Z!$E$48,IF(L13="pelet",T13*Z!$F$48,IF(L13="olej opałowy",T13*Z!$G$48,IF(L13="sieć ciepłownicza",0,IF(L13="prąd",0,0)))))))</f>
        <v>1.5E-3</v>
      </c>
      <c r="AG13" s="568">
        <f>IF(L13="węgiel",T13*Z!$C$49,IF(L13="gaz",T13*Z!$D$49,IF(L13="drewno",T13*Z!$E$49,IF(L13="pelet",T13*Z!$F$49,IF(L13="olej opałowy",T13*Z!$G$49,IF(L13="sieć ciepłownicza",0,IF(L13="prąd",0,0)))))))</f>
        <v>1.5E-3</v>
      </c>
      <c r="AH13" s="568">
        <f>IF(L13="węgiel",T13*Z!$C$50,IF(L13="gaz",T13*Z!$D$50,IF(L13="drewno",T13*Z!$E$50,IF(L13="pelet",T13*Z!$F$50,IF(L13="olej opałowy",T13*Z!$G$50,IF(L13="sieć ciepłownicza",0,IF(L13="prąd",0,0)))))))</f>
        <v>1.3455E-2</v>
      </c>
      <c r="AI13" s="568">
        <f>IF(P13="węgiel",S13*'Założenia,wskaźniki, listy'!$C$44,IF(P13="gaz",S13*'Założenia,wskaźniki, listy'!$D$44,IF(P13="drewno",S13*'Założenia,wskaźniki, listy'!$E$44,IF(P13="pelet",S13*'Założenia,wskaźniki, listy'!$F$44,IF(P13="olej opałowy",S13*'Założenia,wskaźniki, listy'!$G$44,IF(P13="sieć ciepłownicza",0,IF(P13="prąd",0,0)))))))</f>
        <v>0</v>
      </c>
      <c r="AJ13" s="568">
        <f>IF(Q13="węgiel",T13*'Założenia,wskaźniki, listy'!$C$45,IF(Q13="gaz",T13*'Założenia,wskaźniki, listy'!$D$45,IF(Q13="drewno",T13*'Założenia,wskaźniki, listy'!$E$45,IF(Q13="pelet",T13*'Założenia,wskaźniki, listy'!$F$45,IF(Q13="olej opałowy",T13*'Założenia,wskaźniki, listy'!$G$45,IF(Q13="sieć ciepłownicza",0,IF(Q13="prąd",0,0)))))))</f>
        <v>0</v>
      </c>
      <c r="AK13" s="568">
        <f>IF(Q13="węgiel",T13*'Założenia,wskaźniki, listy'!$C$46,IF(Q13="gaz",T13*'Założenia,wskaźniki, listy'!$D$46,IF(Q13="drewno",T13*'Założenia,wskaźniki, listy'!$E$46,IF(Q13="pelet",T13*'Założenia,wskaźniki, listy'!$F$46,IF(Q13="olej opałowy",T13*'Założenia,wskaźniki, listy'!$G$46,IF(Q13="sieć ciepłownicza",0,IF(Q13="prąd",0,0)))))))</f>
        <v>0</v>
      </c>
      <c r="AL13" s="568">
        <f>IF(Q13="węgiel",T13*'Założenia,wskaźniki, listy'!$C$47,IF(Q13="gaz",T13*'Założenia,wskaźniki, listy'!$D$47,IF(Q13="drewno",T13*'Założenia,wskaźniki, listy'!$E$47,IF(Q13="pelet",T13*'Założenia,wskaźniki, listy'!$F$47,IF(Q13="olej opałowy",T13*'Założenia,wskaźniki, listy'!$G$47,IF(Q13="sieć ciepłownicza",0,IF(Q13="prąd",0,0)))))))</f>
        <v>0</v>
      </c>
      <c r="AM13" s="568">
        <f>IF(Q13="węgiel",T13*'Założenia,wskaźniki, listy'!$C$48,IF(Q13="gaz",T13*'Założenia,wskaźniki, listy'!$D$48,IF(Q13="drewno",T13*'Założenia,wskaźniki, listy'!$E$48,IF(Q13="pelet",T13*'Założenia,wskaźniki, listy'!$F$48,IF(Q13="olej opałowy",T13*'Założenia,wskaźniki, listy'!$G$48,IF(Q13="sieć ciepłownicza",0,IF(Q13="prąd",0,0)))))))</f>
        <v>0</v>
      </c>
      <c r="AN13" s="568">
        <f>IF(Q13="węgiel",T13*'Założenia,wskaźniki, listy'!$C$49,IF(Q13="gaz",T13*'Założenia,wskaźniki, listy'!$D$49,IF(Q13="drewno",T13*'Założenia,wskaźniki, listy'!$E$49,IF(Q13="pelet",T13*'Założenia,wskaźniki, listy'!$F$49,IF(Q13="olej opałowy",T13*'Założenia,wskaźniki, listy'!$G$49,IF(Q13="sieć ciepłownicza",0,IF(Q13="prąd",0,0)))))))</f>
        <v>0</v>
      </c>
      <c r="AO13" s="568">
        <f>IF(Q13="węgiel",T13*'Założenia,wskaźniki, listy'!$C$50,IF(Q13="gaz",T13*'Założenia,wskaźniki, listy'!$D$50,IF(Q13="drewno",T13*'Założenia,wskaźniki, listy'!$E$50,IF(Q13="pelet",T13*'Założenia,wskaźniki, listy'!$F$50,IF(Q13="olej opałowy",T13*'Założenia,wskaźniki, listy'!$G$50,IF(Q13="sieć ciepłownicza",0,IF(Q13="prąd",0,0)))))))</f>
        <v>0</v>
      </c>
      <c r="AP13" s="587">
        <v>0.5</v>
      </c>
      <c r="AQ13" s="587">
        <v>0.25</v>
      </c>
      <c r="AR13" s="594">
        <f t="shared" si="3"/>
        <v>3.6000000000000004E-2</v>
      </c>
      <c r="AS13" s="594">
        <f t="shared" si="4"/>
        <v>3.5249999999999997E-2</v>
      </c>
      <c r="AT13" s="568">
        <f>IF(P13="energia el.",(IF(O13&gt;=50,AD13,W13)+AP13*Z!$J$46),(IF(O13&gt;=50,AD13,W13)+AP13*Z!$J$46))</f>
        <v>0.41575000000000001</v>
      </c>
      <c r="AU13" s="568">
        <f t="shared" si="5"/>
        <v>9.0750000000000004E-6</v>
      </c>
      <c r="AV13" s="568">
        <f t="shared" si="6"/>
        <v>8.25E-4</v>
      </c>
      <c r="AW13" s="568">
        <f t="shared" si="7"/>
        <v>6.0000000000000001E-3</v>
      </c>
      <c r="AX13" s="568">
        <f t="shared" si="8"/>
        <v>1.3455E-2</v>
      </c>
      <c r="AY13" s="88" t="s">
        <v>88</v>
      </c>
      <c r="AZ13" s="567"/>
      <c r="BA13" s="564"/>
      <c r="BB13" s="567"/>
      <c r="BC13" s="567"/>
      <c r="BD13" s="567"/>
      <c r="BE13" s="567"/>
      <c r="BF13" s="567"/>
      <c r="BG13" s="567"/>
      <c r="BH13" s="567"/>
      <c r="BI13" s="308">
        <f t="shared" si="9"/>
        <v>75</v>
      </c>
      <c r="BJ13" s="308" t="b">
        <f t="shared" si="10"/>
        <v>0</v>
      </c>
      <c r="BK13" s="319">
        <f t="shared" si="11"/>
        <v>177</v>
      </c>
      <c r="BL13" s="319">
        <f t="shared" si="12"/>
        <v>88.5</v>
      </c>
      <c r="BM13" s="319" t="b">
        <f t="shared" si="13"/>
        <v>0</v>
      </c>
      <c r="BN13" s="319">
        <f t="shared" si="14"/>
        <v>0</v>
      </c>
      <c r="BO13" s="319" t="b">
        <f t="shared" si="15"/>
        <v>0</v>
      </c>
      <c r="BP13" s="319">
        <f t="shared" si="16"/>
        <v>0</v>
      </c>
      <c r="BQ13" s="319" t="b">
        <f t="shared" si="17"/>
        <v>0</v>
      </c>
      <c r="BR13" s="319">
        <f t="shared" si="18"/>
        <v>0</v>
      </c>
      <c r="BS13" s="319" t="b">
        <f t="shared" si="19"/>
        <v>0</v>
      </c>
      <c r="BT13" s="319">
        <f t="shared" si="20"/>
        <v>0</v>
      </c>
      <c r="BU13" s="319" t="b">
        <f t="shared" si="21"/>
        <v>0</v>
      </c>
      <c r="BV13" s="319" t="b">
        <f t="shared" si="22"/>
        <v>0</v>
      </c>
      <c r="BW13" s="319">
        <f t="shared" si="23"/>
        <v>75</v>
      </c>
      <c r="BX13" s="319" t="b">
        <f t="shared" si="24"/>
        <v>0</v>
      </c>
      <c r="BY13" s="319" t="b">
        <f t="shared" si="25"/>
        <v>0</v>
      </c>
      <c r="BZ13" s="319" t="b">
        <f t="shared" si="26"/>
        <v>0</v>
      </c>
      <c r="CA13" s="319" t="b">
        <f t="shared" si="27"/>
        <v>0</v>
      </c>
      <c r="CB13" s="319" t="b">
        <f t="shared" si="28"/>
        <v>0</v>
      </c>
      <c r="CC13" s="319" t="b">
        <f t="shared" si="29"/>
        <v>0</v>
      </c>
      <c r="CD13" s="319" t="b">
        <f t="shared" si="30"/>
        <v>0</v>
      </c>
      <c r="CE13" s="319" t="b">
        <f t="shared" si="31"/>
        <v>0</v>
      </c>
      <c r="CF13" s="319">
        <f t="shared" si="32"/>
        <v>2.0130069375000001</v>
      </c>
    </row>
    <row r="14" spans="1:84">
      <c r="A14" s="991">
        <v>9</v>
      </c>
      <c r="B14" s="566">
        <f>SUM($C$5:C14)</f>
        <v>9</v>
      </c>
      <c r="C14" s="503">
        <f t="shared" si="36"/>
        <v>1</v>
      </c>
      <c r="D14" s="993" t="s">
        <v>580</v>
      </c>
      <c r="E14" s="857" t="s">
        <v>581</v>
      </c>
      <c r="F14" s="858">
        <v>1973</v>
      </c>
      <c r="G14" s="848">
        <v>214</v>
      </c>
      <c r="H14" s="88">
        <v>1</v>
      </c>
      <c r="I14" s="88"/>
      <c r="J14" s="88">
        <f>IF(F14&lt;=1966,'Założenia,wskaźniki, listy'!$H$4,IF(F14&gt;1966,IF(F14&lt;=1985,'Założenia,wskaźniki, listy'!$H$5,IF(F14&gt;1985,IF(F14&lt;=1992,'Założenia,wskaźniki, listy'!$H$6,IF(F14&gt;1992,IF(F14&lt;=1996,'Założenia,wskaźniki, listy'!$H$7,IF(F14&gt;1996,IF(F14&lt;=2013,'Założenia,wskaźniki, listy'!$H$8)))))))))</f>
        <v>250</v>
      </c>
      <c r="K14" s="864" t="s">
        <v>33</v>
      </c>
      <c r="L14" s="88" t="s">
        <v>8</v>
      </c>
      <c r="M14" s="88"/>
      <c r="N14" s="567"/>
      <c r="O14" s="567"/>
      <c r="P14" s="88"/>
      <c r="Q14" s="480">
        <f t="shared" si="2"/>
        <v>154.48260138750001</v>
      </c>
      <c r="R14" s="249">
        <f>IF(K14="kompletna",J14*G14*0.0036*'Założenia,wskaźniki, listy'!$C$15,IF(K14="częściowa",J14*G14*0.0036*'Założenia,wskaźniki, listy'!$C$16,IF(K14="brak",J14*G14*0.0036*'Założenia,wskaźniki, listy'!$C$17,0)))</f>
        <v>154.08000000000001</v>
      </c>
      <c r="S14" s="249">
        <f>H14*'Założenia,wskaźniki, listy'!$L$16</f>
        <v>0.40260138750000002</v>
      </c>
      <c r="T14" s="249">
        <f>S14+R14</f>
        <v>154.48260138750001</v>
      </c>
      <c r="U14" s="568">
        <f>IF(L14="węgiel",T14*'Założenia,wskaźniki, listy'!$C$44,IF(L14="gaz",T14*'Założenia,wskaźniki, listy'!$D$44,IF(L14="drewno",T14*'Założenia,wskaźniki, listy'!$E$44,IF(L14="pelet",T14*'Założenia,wskaźniki, listy'!$F$44,IF(L14="olej opałowy",T14*'Założenia,wskaźniki, listy'!$G$44,IF(L14="sieć ciepłownicza",0,IF(L14="prąd",0,0)))))))</f>
        <v>3.47585853121875E-2</v>
      </c>
      <c r="V14" s="568">
        <f>IF(L14="węgiel",T14*'Założenia,wskaźniki, listy'!$C$45,IF(L14="gaz",T14*'Założenia,wskaźniki, listy'!$D$45,IF(L14="drewno",T14*'Założenia,wskaźniki, listy'!$E$45,IF(L14="pelet",T14*'Założenia,wskaźniki, listy'!$F$45,IF(L14="olej opałowy",T14*'Założenia,wskaźniki, listy'!$G$45,IF(L14="sieć ciepłownicza",0,IF(L14="prąd",0,0)))))))</f>
        <v>3.1051002878887502E-2</v>
      </c>
      <c r="W14" s="568">
        <f>IF(L14="węgiel",T14*'Założenia,wskaźniki, listy'!$C$46,IF(L14="gaz",T14*'Założenia,wskaźniki, listy'!$D$46,IF(L14="drewno",T14*'Założenia,wskaźniki, listy'!$E$46,IF(L14="pelet",T14*'Założenia,wskaźniki, listy'!$F$46,IF(L14="olej opałowy",T14*'Założenia,wskaźniki, listy'!$G$46,IF(L14="sieć ciepłownicza",0,IF(L14="prąd",0,0)))))))</f>
        <v>14.48119905406425</v>
      </c>
      <c r="X14" s="568">
        <f>IF(L14="węgiel",T14*'Założenia,wskaźniki, listy'!$C$47,IF(L14="gaz",T14*'Założenia,wskaźniki, listy'!$D$47,IF(L14="drewno",T14*'Założenia,wskaźniki, listy'!$E$47,IF(L14="pelet",T14*'Założenia,wskaźniki, listy'!$F$47,IF(L14="olej opałowy",T14*'Założenia,wskaźniki, listy'!$G$47,IF(L14="sieć ciepłownicza",0,IF(L14="prąd",0,0)))))))</f>
        <v>4.1710302374625005E-5</v>
      </c>
      <c r="Y14" s="568">
        <f>IF(L14="węgiel",T14*'Założenia,wskaźniki, listy'!$C$48,IF(L14="gaz",T14*'Założenia,wskaźniki, listy'!$D$48,IF(L14="drewno",T14*'Założenia,wskaźniki, listy'!$E$48,IF(L14="pelet",T14*'Założenia,wskaźniki, listy'!$F$48,IF(L14="olej opałowy",T14*'Założenia,wskaźniki, listy'!$G$48,IF(L14="sieć ciepłownicza",0,IF(L14="prąd",0,0)))))))</f>
        <v>0.13903434124875</v>
      </c>
      <c r="Z14" s="568">
        <f>IF(L14="węgiel",T14*'Założenia,wskaźniki, listy'!$C$49,IF(L14="gaz",T14*'Założenia,wskaźniki, listy'!$D$49,IF(L14="drewno",T14*'Założenia,wskaźniki, listy'!$E$49,IF(L14="pelet",T14*'Założenia,wskaźniki, listy'!$F$49,IF(L14="olej opałowy",T14*'Założenia,wskaźniki, listy'!$G$49,IF(L14="sieć ciepłownicza",0,IF(L14="prąd",0,0)))))))</f>
        <v>2.4408251019224999E-2</v>
      </c>
      <c r="AA14" s="568">
        <f>IF(L14="węgiel",T14*'Założenia,wskaźniki, listy'!$C$50,IF(L14="gaz",T14*'Założenia,wskaźniki, listy'!$D$50,IF(L14="drewno",T14*'Założenia,wskaźniki, listy'!$E$50,IF(L14="pelet",T14*'Założenia,wskaźniki, listy'!$F$50,IF(L14="olej opałowy",T14*'Założenia,wskaźniki, listy'!$G$50,IF(L14="sieć ciepłownicza",0,IF(L14="prąd",0,0)))))))</f>
        <v>0.310760709094211</v>
      </c>
      <c r="AB14" s="568">
        <f>IF(L14="węgiel",T14*Z!$C$44,IF(L14="gaz",T14*Z!$D$44,IF(L14="drewno",T14*Z!$E$44,IF(L14="pelet",T14*Z!$F$44,IF(L14="olej opałowy",T14*Z!$G$44,IF(L14="sieć ciepłownicza",0,IF(L14="prąd",0,0)))))))</f>
        <v>2.9351694263625005E-2</v>
      </c>
      <c r="AC14" s="568">
        <f>IF(L14="węgiel",T14*Z!$C$45,IF(L14="gaz",T14*Z!$D$45,IF(L14="drewno",T14*Z!$E$45,IF(L14="pelet",T14*Z!$F$45,IF(L14="olej opałowy",T14*Z!$G$45,IF(L14="sieć ciepłownicza",0,IF(L14="prąd",0,0)))))))</f>
        <v>2.6262042235875003E-2</v>
      </c>
      <c r="AD14" s="568">
        <f>IF(L14="węgiel",T14*Z!$C$46,IF(L14="gaz",T14*Z!$D$46,IF(L14="drewno",T14*Z!$E$46,IF(L14="pelet",T14*Z!$F$46,IF(L14="olej opałowy",T14*Z!$G$46,IF(L14="sieć ciepłownicza",0,IF(L14="prąd",0,0)))))))</f>
        <v>14.48119905406425</v>
      </c>
      <c r="AE14" s="568">
        <f>IF(L14="węgiel",T14*Z!$C$47,IF(L14="gaz",T14*Z!$D$47,IF(L14="drewno",T14*Z!$E$47,IF(L14="pelet",T14*Z!$F$47,IF(L14="olej opałowy",T14*Z!$G$47,IF(L14="sieć ciepłownicza",0,IF(L14="prąd",0,0)))))))</f>
        <v>1.544826013875E-5</v>
      </c>
      <c r="AF14" s="568">
        <f>IF(L14="węgiel",T14*Z!$C$48,IF(L14="gaz",T14*Z!$D$48,IF(L14="drewno",T14*Z!$E$48,IF(L14="pelet",T14*Z!$F$48,IF(L14="olej opałowy",T14*Z!$G$48,IF(L14="sieć ciepłownicza",0,IF(L14="prąd",0,0)))))))</f>
        <v>0.13903434124875</v>
      </c>
      <c r="AG14" s="568">
        <f>IF(L14="węgiel",T14*Z!$C$49,IF(L14="gaz",T14*Z!$D$49,IF(L14="drewno",T14*Z!$E$49,IF(L14="pelet",T14*Z!$F$49,IF(L14="olej opałowy",T14*Z!$G$49,IF(L14="sieć ciepłownicza",0,IF(L14="prąd",0,0)))))))</f>
        <v>2.4717216222000005E-2</v>
      </c>
      <c r="AH14" s="568">
        <f>IF(L14="węgiel",T14*Z!$C$50,IF(L14="gaz",T14*Z!$D$50,IF(L14="drewno",T14*Z!$E$50,IF(L14="pelet",T14*Z!$F$50,IF(L14="olej opałowy",T14*Z!$G$50,IF(L14="sieć ciepłownicza",0,IF(L14="prąd",0,0)))))))</f>
        <v>0.310760709094211</v>
      </c>
      <c r="AI14" s="568">
        <f>IF(P14="węgiel",S14*'Założenia,wskaźniki, listy'!$C$44,IF(P14="gaz",S14*'Założenia,wskaźniki, listy'!$D$44,IF(P14="drewno",S14*'Założenia,wskaźniki, listy'!$E$44,IF(P14="pelet",S14*'Założenia,wskaźniki, listy'!$F$44,IF(P14="olej opałowy",S14*'Założenia,wskaźniki, listy'!$G$44,IF(P14="sieć ciepłownicza",0,IF(P14="prąd",0,0)))))))</f>
        <v>0</v>
      </c>
      <c r="AJ14" s="568">
        <f>IF(Q14="węgiel",T14*'Założenia,wskaźniki, listy'!$C$45,IF(Q14="gaz",T14*'Założenia,wskaźniki, listy'!$D$45,IF(Q14="drewno",T14*'Założenia,wskaźniki, listy'!$E$45,IF(Q14="pelet",T14*'Założenia,wskaźniki, listy'!$F$45,IF(Q14="olej opałowy",T14*'Założenia,wskaźniki, listy'!$G$45,IF(Q14="sieć ciepłownicza",0,IF(Q14="prąd",0,0)))))))</f>
        <v>0</v>
      </c>
      <c r="AK14" s="568">
        <f>IF(Q14="węgiel",T14*'Założenia,wskaźniki, listy'!$C$46,IF(Q14="gaz",T14*'Założenia,wskaźniki, listy'!$D$46,IF(Q14="drewno",T14*'Założenia,wskaźniki, listy'!$E$46,IF(Q14="pelet",T14*'Założenia,wskaźniki, listy'!$F$46,IF(Q14="olej opałowy",T14*'Założenia,wskaźniki, listy'!$G$46,IF(Q14="sieć ciepłownicza",0,IF(Q14="prąd",0,0)))))))</f>
        <v>0</v>
      </c>
      <c r="AL14" s="568">
        <f>IF(Q14="węgiel",T14*'Założenia,wskaźniki, listy'!$C$47,IF(Q14="gaz",T14*'Założenia,wskaźniki, listy'!$D$47,IF(Q14="drewno",T14*'Założenia,wskaźniki, listy'!$E$47,IF(Q14="pelet",T14*'Założenia,wskaźniki, listy'!$F$47,IF(Q14="olej opałowy",T14*'Założenia,wskaźniki, listy'!$G$47,IF(Q14="sieć ciepłownicza",0,IF(Q14="prąd",0,0)))))))</f>
        <v>0</v>
      </c>
      <c r="AM14" s="568">
        <f>IF(Q14="węgiel",T14*'Założenia,wskaźniki, listy'!$C$48,IF(Q14="gaz",T14*'Założenia,wskaźniki, listy'!$D$48,IF(Q14="drewno",T14*'Założenia,wskaźniki, listy'!$E$48,IF(Q14="pelet",T14*'Założenia,wskaźniki, listy'!$F$48,IF(Q14="olej opałowy",T14*'Założenia,wskaźniki, listy'!$G$48,IF(Q14="sieć ciepłownicza",0,IF(Q14="prąd",0,0)))))))</f>
        <v>0</v>
      </c>
      <c r="AN14" s="568">
        <f>IF(Q14="węgiel",T14*'Założenia,wskaźniki, listy'!$C$49,IF(Q14="gaz",T14*'Założenia,wskaźniki, listy'!$D$49,IF(Q14="drewno",T14*'Założenia,wskaźniki, listy'!$E$49,IF(Q14="pelet",T14*'Założenia,wskaźniki, listy'!$F$49,IF(Q14="olej opałowy",T14*'Założenia,wskaźniki, listy'!$G$49,IF(Q14="sieć ciepłownicza",0,IF(Q14="prąd",0,0)))))))</f>
        <v>0</v>
      </c>
      <c r="AO14" s="568">
        <f>IF(Q14="węgiel",T14*'Założenia,wskaźniki, listy'!$C$50,IF(Q14="gaz",T14*'Założenia,wskaźniki, listy'!$D$50,IF(Q14="drewno",T14*'Założenia,wskaźniki, listy'!$E$50,IF(Q14="pelet",T14*'Założenia,wskaźniki, listy'!$F$50,IF(Q14="olej opałowy",T14*'Założenia,wskaźniki, listy'!$G$50,IF(Q14="sieć ciepłownicza",0,IF(Q14="prąd",0,0)))))))</f>
        <v>0</v>
      </c>
      <c r="AP14" s="568">
        <v>0.5</v>
      </c>
      <c r="AQ14" s="575">
        <v>0.25</v>
      </c>
      <c r="AR14" s="594">
        <f t="shared" si="3"/>
        <v>3.47585853121875E-2</v>
      </c>
      <c r="AS14" s="594">
        <f t="shared" si="4"/>
        <v>3.1051002878887502E-2</v>
      </c>
      <c r="AT14" s="568">
        <f>IF(P14="energia el.",(IF(O14&gt;=50,AD14,W14)+AP14*Z!$J$46),(IF(O14&gt;=50,AD14,W14)+AP14*Z!$J$46))</f>
        <v>14.896949054064249</v>
      </c>
      <c r="AU14" s="568">
        <f t="shared" si="5"/>
        <v>4.1710302374625005E-5</v>
      </c>
      <c r="AV14" s="568">
        <f t="shared" si="6"/>
        <v>0.13903434124875</v>
      </c>
      <c r="AW14" s="568">
        <f t="shared" si="7"/>
        <v>2.4408251019224999E-2</v>
      </c>
      <c r="AX14" s="568">
        <f t="shared" si="8"/>
        <v>0.310760709094211</v>
      </c>
      <c r="AY14" s="88" t="s">
        <v>88</v>
      </c>
      <c r="AZ14" s="567"/>
      <c r="BA14" s="564"/>
      <c r="BB14" s="567"/>
      <c r="BC14" s="567"/>
      <c r="BD14" s="567"/>
      <c r="BE14" s="567"/>
      <c r="BF14" s="567"/>
      <c r="BG14" s="567"/>
      <c r="BH14" s="567"/>
      <c r="BI14" s="308">
        <f t="shared" si="9"/>
        <v>154.48260138750001</v>
      </c>
      <c r="BJ14" s="308" t="b">
        <f t="shared" si="10"/>
        <v>0</v>
      </c>
      <c r="BK14" s="319" t="b">
        <f t="shared" si="11"/>
        <v>0</v>
      </c>
      <c r="BL14" s="319">
        <f t="shared" si="12"/>
        <v>0</v>
      </c>
      <c r="BM14" s="319">
        <f t="shared" si="13"/>
        <v>214</v>
      </c>
      <c r="BN14" s="319">
        <f t="shared" si="14"/>
        <v>107</v>
      </c>
      <c r="BO14" s="319" t="b">
        <f t="shared" si="15"/>
        <v>0</v>
      </c>
      <c r="BP14" s="319">
        <f t="shared" si="16"/>
        <v>0</v>
      </c>
      <c r="BQ14" s="319" t="b">
        <f t="shared" si="17"/>
        <v>0</v>
      </c>
      <c r="BR14" s="319">
        <f t="shared" si="18"/>
        <v>0</v>
      </c>
      <c r="BS14" s="319" t="b">
        <f t="shared" si="19"/>
        <v>0</v>
      </c>
      <c r="BT14" s="319">
        <f t="shared" si="20"/>
        <v>0</v>
      </c>
      <c r="BU14" s="319">
        <f t="shared" si="21"/>
        <v>154.48260138750001</v>
      </c>
      <c r="BV14" s="319" t="b">
        <f t="shared" si="22"/>
        <v>0</v>
      </c>
      <c r="BW14" s="319" t="b">
        <f t="shared" si="23"/>
        <v>0</v>
      </c>
      <c r="BX14" s="319" t="b">
        <f t="shared" si="24"/>
        <v>0</v>
      </c>
      <c r="BY14" s="319" t="b">
        <f t="shared" si="25"/>
        <v>0</v>
      </c>
      <c r="BZ14" s="319" t="b">
        <f t="shared" si="26"/>
        <v>0</v>
      </c>
      <c r="CA14" s="319" t="b">
        <f t="shared" si="27"/>
        <v>0</v>
      </c>
      <c r="CB14" s="319" t="b">
        <f t="shared" si="28"/>
        <v>0</v>
      </c>
      <c r="CC14" s="319" t="b">
        <f t="shared" si="29"/>
        <v>0</v>
      </c>
      <c r="CD14" s="319" t="b">
        <f t="shared" si="30"/>
        <v>0</v>
      </c>
      <c r="CE14" s="319" t="b">
        <f t="shared" si="31"/>
        <v>0</v>
      </c>
      <c r="CF14" s="319" t="b">
        <f t="shared" si="32"/>
        <v>0</v>
      </c>
    </row>
    <row r="15" spans="1:84">
      <c r="A15" s="992"/>
      <c r="B15" s="847">
        <f>SUM($C$5:C15)</f>
        <v>9</v>
      </c>
      <c r="C15" s="503" t="b">
        <f>IF(ISTEXT(D15),1)</f>
        <v>0</v>
      </c>
      <c r="D15" s="994"/>
      <c r="F15" s="847"/>
      <c r="G15" s="847"/>
      <c r="H15" s="88">
        <v>1</v>
      </c>
      <c r="I15" s="88"/>
      <c r="J15" s="88">
        <f>IF(F15&lt;=1966,'Założenia,wskaźniki, listy'!$H$4,IF(F15&gt;1966,IF(F15&lt;=1985,'Założenia,wskaźniki, listy'!$H$5,IF(F15&gt;1985,IF(F15&lt;=1992,'Założenia,wskaźniki, listy'!$H$6,IF(F15&gt;1992,IF(F15&lt;=1996,'Założenia,wskaźniki, listy'!$H$7,IF(F15&gt;1996,IF(F15&lt;=2013,'Założenia,wskaźniki, listy'!$H$8)))))))))</f>
        <v>290</v>
      </c>
      <c r="K15" s="864"/>
      <c r="L15" s="88" t="s">
        <v>79</v>
      </c>
      <c r="M15" s="88"/>
      <c r="N15" s="850"/>
      <c r="O15" s="850"/>
      <c r="P15" s="88"/>
      <c r="Q15" s="480">
        <f t="shared" ref="Q15" si="70">IF(R15&gt;0,(S15+T15+R15)/2,S15+T15)</f>
        <v>0.80520277500000004</v>
      </c>
      <c r="R15" s="249">
        <f>IF(K15="kompletna",J15*G15*0.0036*'Założenia,wskaźniki, listy'!$C$15,IF(K15="częściowa",J15*G15*0.0036*'Założenia,wskaźniki, listy'!$C$16,IF(K15="brak",J15*G15*0.0036*'Założenia,wskaźniki, listy'!$C$17,0)))</f>
        <v>0</v>
      </c>
      <c r="S15" s="249">
        <f>H15*'Założenia,wskaźniki, listy'!$L$16</f>
        <v>0.40260138750000002</v>
      </c>
      <c r="T15" s="249">
        <f>S15</f>
        <v>0.40260138750000002</v>
      </c>
      <c r="U15" s="849">
        <f>IF(L15="węgiel",T15*'Założenia,wskaźniki, listy'!$C$44,IF(L15="gaz",T15*'Założenia,wskaźniki, listy'!$D$44,IF(L15="drewno",T15*'Założenia,wskaźniki, listy'!$E$44,IF(L15="pelet",T15*'Założenia,wskaźniki, listy'!$F$44,IF(L15="olej opałowy",T15*'Założenia,wskaźniki, listy'!$G$44,IF(L15="sieć ciepłownicza",0,IF(L15="prąd",0,0)))))))</f>
        <v>1.9324866600000003E-4</v>
      </c>
      <c r="V15" s="849">
        <f>IF(L15="węgiel",T15*'Założenia,wskaźniki, listy'!$C$45,IF(L15="gaz",T15*'Założenia,wskaźniki, listy'!$D$45,IF(L15="drewno",T15*'Założenia,wskaźniki, listy'!$E$45,IF(L15="pelet",T15*'Założenia,wskaźniki, listy'!$F$45,IF(L15="olej opałowy",T15*'Założenia,wskaźniki, listy'!$G$45,IF(L15="sieć ciepłownicza",0,IF(L15="prąd",0,0)))))))</f>
        <v>1.8922265212500001E-4</v>
      </c>
      <c r="W15" s="849">
        <f>IF(L15="węgiel",T15*'Założenia,wskaźniki, listy'!$C$46,IF(L15="gaz",T15*'Założenia,wskaźniki, listy'!$D$46,IF(L15="drewno",T15*'Założenia,wskaźniki, listy'!$E$46,IF(L15="pelet",T15*'Założenia,wskaźniki, listy'!$F$46,IF(L15="olej opałowy",T15*'Założenia,wskaźniki, listy'!$G$46,IF(L15="sieć ciepłownicza",0,IF(L15="prąd",0,0)))))))</f>
        <v>0</v>
      </c>
      <c r="X15" s="849">
        <f>IF(L15="węgiel",T15*'Założenia,wskaźniki, listy'!$C$47,IF(L15="gaz",T15*'Założenia,wskaźniki, listy'!$D$47,IF(L15="drewno",T15*'Założenia,wskaźniki, listy'!$E$47,IF(L15="pelet",T15*'Założenia,wskaźniki, listy'!$F$47,IF(L15="olej opałowy",T15*'Założenia,wskaźniki, listy'!$G$47,IF(L15="sieć ciepłownicza",0,IF(L15="prąd",0,0)))))))</f>
        <v>4.8714767887500004E-8</v>
      </c>
      <c r="Y15" s="849">
        <f>IF(L15="węgiel",T15*'Założenia,wskaźniki, listy'!$C$48,IF(L15="gaz",T15*'Założenia,wskaźniki, listy'!$D$48,IF(L15="drewno",T15*'Założenia,wskaźniki, listy'!$E$48,IF(L15="pelet",T15*'Założenia,wskaźniki, listy'!$F$48,IF(L15="olej opałowy",T15*'Założenia,wskaźniki, listy'!$G$48,IF(L15="sieć ciepłownicza",0,IF(L15="prąd",0,0)))))))</f>
        <v>4.4286152625000001E-6</v>
      </c>
      <c r="Z15" s="849">
        <f>IF(L15="węgiel",T15*'Założenia,wskaźniki, listy'!$C$49,IF(L15="gaz",T15*'Założenia,wskaźniki, listy'!$D$49,IF(L15="drewno",T15*'Założenia,wskaźniki, listy'!$E$49,IF(L15="pelet",T15*'Założenia,wskaźniki, listy'!$F$49,IF(L15="olej opałowy",T15*'Założenia,wskaźniki, listy'!$G$49,IF(L15="sieć ciepłownicza",0,IF(L15="prąd",0,0)))))))</f>
        <v>3.2208111000000004E-5</v>
      </c>
      <c r="AA15" s="849">
        <f>IF(L15="węgiel",T15*'Założenia,wskaźniki, listy'!$C$50,IF(L15="gaz",T15*'Założenia,wskaźniki, listy'!$D$50,IF(L15="drewno",T15*'Założenia,wskaźniki, listy'!$E$50,IF(L15="pelet",T15*'Założenia,wskaźniki, listy'!$F$50,IF(L15="olej opałowy",T15*'Założenia,wskaźniki, listy'!$G$50,IF(L15="sieć ciepłownicza",0,IF(L15="prąd",0,0)))))))</f>
        <v>7.2226688917500001E-5</v>
      </c>
      <c r="AB15" s="849">
        <f>IF(L15="węgiel",T15*Z!$C$44,IF(L15="gaz",T15*Z!$D$44,IF(L15="drewno",T15*Z!$E$44,IF(L15="pelet",T15*Z!$F$44,IF(L15="olej opałowy",T15*Z!$G$44,IF(L15="sieć ciepłownicza",0,IF(L15="prąd",0,0)))))))</f>
        <v>3.0597705450000003E-5</v>
      </c>
      <c r="AC15" s="849">
        <f>IF(L15="węgiel",T15*Z!$C$45,IF(L15="gaz",T15*Z!$D$45,IF(L15="drewno",T15*Z!$E$45,IF(L15="pelet",T15*Z!$F$45,IF(L15="olej opałowy",T15*Z!$G$45,IF(L15="sieć ciepłownicza",0,IF(L15="prąd",0,0)))))))</f>
        <v>3.0597705450000003E-5</v>
      </c>
      <c r="AD15" s="849">
        <f>IF(L15="węgiel",T15*Z!$C$46,IF(L15="gaz",T15*Z!$D$46,IF(L15="drewno",T15*Z!$E$46,IF(L15="pelet",T15*Z!$F$46,IF(L15="olej opałowy",T15*Z!$G$46,IF(L15="sieć ciepłownicza",0,IF(L15="prąd",0,0)))))))</f>
        <v>0</v>
      </c>
      <c r="AE15" s="849">
        <f>IF(L15="węgiel",T15*Z!$C$47,IF(L15="gaz",T15*Z!$D$47,IF(L15="drewno",T15*Z!$E$47,IF(L15="pelet",T15*Z!$F$47,IF(L15="olej opałowy",T15*Z!$G$47,IF(L15="sieć ciepłownicza",0,IF(L15="prąd",0,0)))))))</f>
        <v>2.0130069374999999E-8</v>
      </c>
      <c r="AF15" s="849">
        <f>IF(L15="węgiel",T15*Z!$C$48,IF(L15="gaz",T15*Z!$D$48,IF(L15="drewno",T15*Z!$E$48,IF(L15="pelet",T15*Z!$F$48,IF(L15="olej opałowy",T15*Z!$G$48,IF(L15="sieć ciepłownicza",0,IF(L15="prąd",0,0)))))))</f>
        <v>8.0520277500000011E-6</v>
      </c>
      <c r="AG15" s="849">
        <f>IF(L15="węgiel",T15*Z!$C$49,IF(L15="gaz",T15*Z!$D$49,IF(L15="drewno",T15*Z!$E$49,IF(L15="pelet",T15*Z!$F$49,IF(L15="olej opałowy",T15*Z!$G$49,IF(L15="sieć ciepłownicza",0,IF(L15="prąd",0,0)))))))</f>
        <v>8.0520277500000011E-6</v>
      </c>
      <c r="AH15" s="849">
        <f>IF(L15="węgiel",T15*Z!$C$50,IF(L15="gaz",T15*Z!$D$50,IF(L15="drewno",T15*Z!$E$50,IF(L15="pelet",T15*Z!$F$50,IF(L15="olej opałowy",T15*Z!$G$50,IF(L15="sieć ciepłownicza",0,IF(L15="prąd",0,0)))))))</f>
        <v>7.2226688917500001E-5</v>
      </c>
      <c r="AI15" s="849">
        <f>IF(P15="węgiel",S15*'Założenia,wskaźniki, listy'!$C$44,IF(P15="gaz",S15*'Założenia,wskaźniki, listy'!$D$44,IF(P15="drewno",S15*'Założenia,wskaźniki, listy'!$E$44,IF(P15="pelet",S15*'Założenia,wskaźniki, listy'!$F$44,IF(P15="olej opałowy",S15*'Założenia,wskaźniki, listy'!$G$44,IF(P15="sieć ciepłownicza",0,IF(P15="prąd",0,0)))))))</f>
        <v>0</v>
      </c>
      <c r="AJ15" s="849">
        <f>IF(Q15="węgiel",T15*'Założenia,wskaźniki, listy'!$C$45,IF(Q15="gaz",T15*'Założenia,wskaźniki, listy'!$D$45,IF(Q15="drewno",T15*'Założenia,wskaźniki, listy'!$E$45,IF(Q15="pelet",T15*'Założenia,wskaźniki, listy'!$F$45,IF(Q15="olej opałowy",T15*'Założenia,wskaźniki, listy'!$G$45,IF(Q15="sieć ciepłownicza",0,IF(Q15="prąd",0,0)))))))</f>
        <v>0</v>
      </c>
      <c r="AK15" s="849">
        <f>IF(Q15="węgiel",T15*'Założenia,wskaźniki, listy'!$C$46,IF(Q15="gaz",T15*'Założenia,wskaźniki, listy'!$D$46,IF(Q15="drewno",T15*'Założenia,wskaźniki, listy'!$E$46,IF(Q15="pelet",T15*'Założenia,wskaźniki, listy'!$F$46,IF(Q15="olej opałowy",T15*'Założenia,wskaźniki, listy'!$G$46,IF(Q15="sieć ciepłownicza",0,IF(Q15="prąd",0,0)))))))</f>
        <v>0</v>
      </c>
      <c r="AL15" s="849">
        <f>IF(Q15="węgiel",T15*'Założenia,wskaźniki, listy'!$C$47,IF(Q15="gaz",T15*'Założenia,wskaźniki, listy'!$D$47,IF(Q15="drewno",T15*'Założenia,wskaźniki, listy'!$E$47,IF(Q15="pelet",T15*'Założenia,wskaźniki, listy'!$F$47,IF(Q15="olej opałowy",T15*'Założenia,wskaźniki, listy'!$G$47,IF(Q15="sieć ciepłownicza",0,IF(Q15="prąd",0,0)))))))</f>
        <v>0</v>
      </c>
      <c r="AM15" s="849">
        <f>IF(Q15="węgiel",T15*'Założenia,wskaźniki, listy'!$C$48,IF(Q15="gaz",T15*'Założenia,wskaźniki, listy'!$D$48,IF(Q15="drewno",T15*'Założenia,wskaźniki, listy'!$E$48,IF(Q15="pelet",T15*'Założenia,wskaźniki, listy'!$F$48,IF(Q15="olej opałowy",T15*'Założenia,wskaźniki, listy'!$G$48,IF(Q15="sieć ciepłownicza",0,IF(Q15="prąd",0,0)))))))</f>
        <v>0</v>
      </c>
      <c r="AN15" s="849">
        <f>IF(Q15="węgiel",T15*'Założenia,wskaźniki, listy'!$C$49,IF(Q15="gaz",T15*'Założenia,wskaźniki, listy'!$D$49,IF(Q15="drewno",T15*'Założenia,wskaźniki, listy'!$E$49,IF(Q15="pelet",T15*'Założenia,wskaźniki, listy'!$F$49,IF(Q15="olej opałowy",T15*'Założenia,wskaźniki, listy'!$G$49,IF(Q15="sieć ciepłownicza",0,IF(Q15="prąd",0,0)))))))</f>
        <v>0</v>
      </c>
      <c r="AO15" s="849">
        <f>IF(Q15="węgiel",T15*'Założenia,wskaźniki, listy'!$C$50,IF(Q15="gaz",T15*'Założenia,wskaźniki, listy'!$D$50,IF(Q15="drewno",T15*'Założenia,wskaźniki, listy'!$E$50,IF(Q15="pelet",T15*'Założenia,wskaźniki, listy'!$F$50,IF(Q15="olej opałowy",T15*'Założenia,wskaźniki, listy'!$G$50,IF(Q15="sieć ciepłownicza",0,IF(Q15="prąd",0,0)))))))</f>
        <v>0</v>
      </c>
      <c r="AP15" s="849"/>
      <c r="AQ15" s="849"/>
      <c r="AR15" s="849">
        <f t="shared" ref="AR15" si="71">AI15+IF(O15&gt;=50,AB15,U15)</f>
        <v>1.9324866600000003E-4</v>
      </c>
      <c r="AS15" s="849">
        <f t="shared" ref="AS15" si="72">AJ15+IF(O15&gt;=50,AC15,V15)</f>
        <v>1.8922265212500001E-4</v>
      </c>
      <c r="AT15" s="849">
        <f>IF(P15="energia el.",(IF(O15&gt;=50,AD15,W15)+AP15*Z!$J$46),(IF(O15&gt;=50,AD15,W15)+AP15*Z!$J$46))</f>
        <v>0</v>
      </c>
      <c r="AU15" s="849">
        <f t="shared" ref="AU15" si="73">AL15+IF(O15&gt;=50,AE15,X15)</f>
        <v>4.8714767887500004E-8</v>
      </c>
      <c r="AV15" s="849">
        <f t="shared" ref="AV15" si="74">AM15+IF(O15&gt;=50,AF15,Y15)</f>
        <v>4.4286152625000001E-6</v>
      </c>
      <c r="AW15" s="849">
        <f t="shared" ref="AW15" si="75">AN15+IF(O15&gt;=50,AG15,Z15)</f>
        <v>3.2208111000000004E-5</v>
      </c>
      <c r="AX15" s="849">
        <f t="shared" ref="AX15" si="76">AO15+IF(O15&gt;=50,AH15,AA15)</f>
        <v>7.2226688917500001E-5</v>
      </c>
      <c r="AY15" s="88"/>
      <c r="AZ15" s="850"/>
      <c r="BA15" s="583"/>
      <c r="BB15" s="850"/>
      <c r="BC15" s="850"/>
      <c r="BD15" s="850"/>
      <c r="BE15" s="850"/>
      <c r="BF15" s="850"/>
      <c r="BG15" s="850"/>
      <c r="BH15" s="850"/>
      <c r="BI15" s="308">
        <f t="shared" ref="BI15" si="77">IF(O15&lt;50,T15)</f>
        <v>0.40260138750000002</v>
      </c>
      <c r="BJ15" s="308" t="b">
        <f t="shared" ref="BJ15" si="78">IF(O15&gt;=50,T15)</f>
        <v>0</v>
      </c>
      <c r="BK15" s="319">
        <f t="shared" ref="BK15" si="79">IF(F15&lt;=1966,G15)</f>
        <v>0</v>
      </c>
      <c r="BL15" s="319" t="b">
        <f t="shared" ref="BL15" si="80">IF(K15="kompletna",BK15,IF(K15="częściowa",0.5*BK15))</f>
        <v>0</v>
      </c>
      <c r="BM15" s="319" t="b">
        <f t="shared" ref="BM15" si="81">IF(F15&gt;1966,IF(F15&lt;=1985,G15))</f>
        <v>0</v>
      </c>
      <c r="BN15" s="319" t="b">
        <f t="shared" ref="BN15" si="82">IF(K15="kompletna",BM15,IF(K15="częściowa",0.5*BM15))</f>
        <v>0</v>
      </c>
      <c r="BO15" s="319" t="b">
        <f t="shared" ref="BO15" si="83">IF(F15&gt;1985,IF(F15&lt;=1992,G15))</f>
        <v>0</v>
      </c>
      <c r="BP15" s="319" t="b">
        <f t="shared" ref="BP15" si="84">IF(K15="kompletna",BO15,IF(K15="częściowa",0.5*BO15))</f>
        <v>0</v>
      </c>
      <c r="BQ15" s="319" t="b">
        <f t="shared" ref="BQ15" si="85">IF(F15&gt;1992,IF(F15&lt;=1996,G15))</f>
        <v>0</v>
      </c>
      <c r="BR15" s="319" t="b">
        <f t="shared" ref="BR15" si="86">IF(K15="kompletna",BQ15,IF(K15="częściowa",0.5*BQ15))</f>
        <v>0</v>
      </c>
      <c r="BS15" s="319" t="b">
        <f t="shared" ref="BS15" si="87">IF(F15&gt;1996,IF(F15&lt;=2014,G15))</f>
        <v>0</v>
      </c>
      <c r="BT15" s="319" t="b">
        <f t="shared" ref="BT15" si="88">IF(K15="kompletna",BS15,IF(K15="częściowa",0.5*BS15))</f>
        <v>0</v>
      </c>
      <c r="BU15" s="319" t="b">
        <f t="shared" ref="BU15" si="89">IF(L15="węgiel",T15)</f>
        <v>0</v>
      </c>
      <c r="BV15" s="319" t="b">
        <f t="shared" ref="BV15" si="90">IF(L15="gaz",Q15)</f>
        <v>0</v>
      </c>
      <c r="BW15" s="319">
        <f t="shared" ref="BW15" si="91">IF(L15="drewno",T15)</f>
        <v>0.40260138750000002</v>
      </c>
      <c r="BX15" s="319" t="b">
        <f t="shared" ref="BX15" si="92">IF(L15="pelet",T15)</f>
        <v>0</v>
      </c>
      <c r="BY15" s="319" t="b">
        <f t="shared" ref="BY15" si="93">IF(L15="olej opałowy",T15)</f>
        <v>0</v>
      </c>
      <c r="BZ15" s="319" t="b">
        <f t="shared" ref="BZ15" si="94">IF(L15="energia el.",Q15)</f>
        <v>0</v>
      </c>
      <c r="CA15" s="319" t="b">
        <f t="shared" ref="CA15" si="95">IF(P15="węgiel",S15)</f>
        <v>0</v>
      </c>
      <c r="CB15" s="319" t="b">
        <f t="shared" ref="CB15" si="96">IF(P15="gaz",S15)</f>
        <v>0</v>
      </c>
      <c r="CC15" s="319" t="b">
        <f t="shared" ref="CC15" si="97">IF(P15="drewno",S15)</f>
        <v>0</v>
      </c>
      <c r="CD15" s="319" t="b">
        <f t="shared" ref="CD15" si="98">IF(P15="pelet",S15)</f>
        <v>0</v>
      </c>
      <c r="CE15" s="319" t="b">
        <f t="shared" ref="CE15" si="99">IF(P15="olej opałowy",S15)</f>
        <v>0</v>
      </c>
      <c r="CF15" s="319" t="b">
        <f t="shared" ref="CF15" si="100">IF(P15="energia el.",S15)</f>
        <v>0</v>
      </c>
    </row>
    <row r="16" spans="1:84">
      <c r="A16" s="991">
        <v>10</v>
      </c>
      <c r="B16" s="566">
        <f>SUM($C$5:C16)</f>
        <v>10</v>
      </c>
      <c r="C16" s="503">
        <f t="shared" si="36"/>
        <v>1</v>
      </c>
      <c r="D16" s="993" t="s">
        <v>582</v>
      </c>
      <c r="E16" s="857" t="s">
        <v>583</v>
      </c>
      <c r="F16" s="858">
        <v>1981</v>
      </c>
      <c r="G16" s="848">
        <v>160</v>
      </c>
      <c r="H16" s="88">
        <v>1</v>
      </c>
      <c r="I16" s="88"/>
      <c r="J16" s="88">
        <f>IF(F16&lt;=1966,'Założenia,wskaźniki, listy'!$H$4,IF(F16&gt;1966,IF(F16&lt;=1985,'Założenia,wskaźniki, listy'!$H$5,IF(F16&gt;1985,IF(F16&lt;=1992,'Założenia,wskaźniki, listy'!$H$6,IF(F16&gt;1992,IF(F16&lt;=1996,'Założenia,wskaźniki, listy'!$H$7,IF(F16&gt;1996,IF(F16&lt;=2013,'Założenia,wskaźniki, listy'!$H$8)))))))))</f>
        <v>250</v>
      </c>
      <c r="K16" s="864" t="s">
        <v>33</v>
      </c>
      <c r="L16" s="88" t="s">
        <v>8</v>
      </c>
      <c r="M16" s="88">
        <v>0.5</v>
      </c>
      <c r="N16" s="567"/>
      <c r="O16" s="567"/>
      <c r="P16" s="88" t="s">
        <v>313</v>
      </c>
      <c r="Q16" s="480">
        <f t="shared" si="2"/>
        <v>63.453800693750004</v>
      </c>
      <c r="R16" s="249">
        <f>IF(K16="kompletna",J16*G16*0.0036*'Założenia,wskaźniki, listy'!$C$15,IF(K16="częściowa",J16*G16*0.0036*'Założenia,wskaźniki, listy'!$C$16,IF(K16="brak",J16*G16*0.0036*'Założenia,wskaźniki, listy'!$C$17,0)))</f>
        <v>115.2</v>
      </c>
      <c r="S16" s="249">
        <f>H16*'Założenia,wskaźniki, listy'!$L$16</f>
        <v>0.40260138750000002</v>
      </c>
      <c r="T16" s="249">
        <f>IF(L16="węgiel",M16*'Założenia,wskaźniki, listy'!$B$4,IF(L16="gaz",M16*'Założenia,wskaźniki, listy'!$B$5,IF(L16="drewno",M16*'Założenia,wskaźniki, listy'!$B$6,IF(L16="pelet",M16*'Założenia,wskaźniki, listy'!$B$7,IF(L16="olej opałowy",M16*'Założenia,wskaźniki, listy'!$B$8,IF(L16="sieć ciepłownicza",0,0))))))</f>
        <v>11.305</v>
      </c>
      <c r="U16" s="568">
        <f>IF(L16="węgiel",T16*'Założenia,wskaźniki, listy'!$C$44,IF(L16="gaz",T16*'Założenia,wskaźniki, listy'!$D$44,IF(L16="drewno",T16*'Założenia,wskaźniki, listy'!$E$44,IF(L16="pelet",T16*'Założenia,wskaźniki, listy'!$F$44,IF(L16="olej opałowy",T16*'Założenia,wskaźniki, listy'!$G$44,IF(L16="sieć ciepłownicza",0,IF(L16="prąd",0,0)))))))</f>
        <v>2.5436249999999999E-3</v>
      </c>
      <c r="V16" s="568">
        <f>IF(L16="węgiel",T16*'Założenia,wskaźniki, listy'!$C$45,IF(L16="gaz",T16*'Założenia,wskaźniki, listy'!$D$45,IF(L16="drewno",T16*'Założenia,wskaźniki, listy'!$E$45,IF(L16="pelet",T16*'Założenia,wskaźniki, listy'!$F$45,IF(L16="olej opałowy",T16*'Założenia,wskaźniki, listy'!$G$45,IF(L16="sieć ciepłownicza",0,IF(L16="prąd",0,0)))))))</f>
        <v>2.2723050000000001E-3</v>
      </c>
      <c r="W16" s="568">
        <f>IF(L16="węgiel",T16*'Założenia,wskaźniki, listy'!$C$46,IF(L16="gaz",T16*'Założenia,wskaźniki, listy'!$D$46,IF(L16="drewno",T16*'Założenia,wskaźniki, listy'!$E$46,IF(L16="pelet",T16*'Założenia,wskaźniki, listy'!$F$46,IF(L16="olej opałowy",T16*'Założenia,wskaźniki, listy'!$G$46,IF(L16="sieć ciepłownicza",0,IF(L16="prąd",0,0)))))))</f>
        <v>1.0597306999999998</v>
      </c>
      <c r="X16" s="568">
        <f>IF(L16="węgiel",T16*'Założenia,wskaźniki, listy'!$C$47,IF(L16="gaz",T16*'Założenia,wskaźniki, listy'!$D$47,IF(L16="drewno",T16*'Założenia,wskaźniki, listy'!$E$47,IF(L16="pelet",T16*'Założenia,wskaźniki, listy'!$F$47,IF(L16="olej opałowy",T16*'Założenia,wskaźniki, listy'!$G$47,IF(L16="sieć ciepłownicza",0,IF(L16="prąd",0,0)))))))</f>
        <v>3.0523500000000001E-6</v>
      </c>
      <c r="Y16" s="568">
        <f>IF(L16="węgiel",T16*'Założenia,wskaźniki, listy'!$C$48,IF(L16="gaz",T16*'Założenia,wskaźniki, listy'!$D$48,IF(L16="drewno",T16*'Założenia,wskaźniki, listy'!$E$48,IF(L16="pelet",T16*'Założenia,wskaźniki, listy'!$F$48,IF(L16="olej opałowy",T16*'Założenia,wskaźniki, listy'!$G$48,IF(L16="sieć ciepłownicza",0,IF(L16="prąd",0,0)))))))</f>
        <v>1.01745E-2</v>
      </c>
      <c r="Z16" s="568">
        <f>IF(L16="węgiel",T16*'Założenia,wskaźniki, listy'!$C$49,IF(L16="gaz",T16*'Założenia,wskaźniki, listy'!$D$49,IF(L16="drewno",T16*'Założenia,wskaźniki, listy'!$E$49,IF(L16="pelet",T16*'Założenia,wskaźniki, listy'!$F$49,IF(L16="olej opałowy",T16*'Założenia,wskaźniki, listy'!$G$49,IF(L16="sieć ciepłownicza",0,IF(L16="prąd",0,0)))))))</f>
        <v>1.7861899999999998E-3</v>
      </c>
      <c r="AA16" s="568">
        <f>IF(L16="węgiel",T16*'Założenia,wskaźniki, listy'!$C$50,IF(L16="gaz",T16*'Założenia,wskaźniki, listy'!$D$50,IF(L16="drewno",T16*'Założenia,wskaźniki, listy'!$E$50,IF(L16="pelet",T16*'Założenia,wskaźniki, listy'!$F$50,IF(L16="olej opałowy",T16*'Założenia,wskaźniki, listy'!$G$50,IF(L16="sieć ciepłownicza",0,IF(L16="prąd",0,0)))))))</f>
        <v>2.2741394725078228E-2</v>
      </c>
      <c r="AB16" s="568">
        <f>IF(L16="węgiel",T16*Z!$C$44,IF(L16="gaz",T16*Z!$D$44,IF(L16="drewno",T16*Z!$E$44,IF(L16="pelet",T16*Z!$F$44,IF(L16="olej opałowy",T16*Z!$G$44,IF(L16="sieć ciepłownicza",0,IF(L16="prąd",0,0)))))))</f>
        <v>2.14795E-3</v>
      </c>
      <c r="AC16" s="568">
        <f>IF(L16="węgiel",T16*Z!$C$45,IF(L16="gaz",T16*Z!$D$45,IF(L16="drewno",T16*Z!$E$45,IF(L16="pelet",T16*Z!$F$45,IF(L16="olej opałowy",T16*Z!$G$45,IF(L16="sieć ciepłownicza",0,IF(L16="prąd",0,0)))))))</f>
        <v>1.9218500000000001E-3</v>
      </c>
      <c r="AD16" s="568">
        <f>IF(L16="węgiel",T16*Z!$C$46,IF(L16="gaz",T16*Z!$D$46,IF(L16="drewno",T16*Z!$E$46,IF(L16="pelet",T16*Z!$F$46,IF(L16="olej opałowy",T16*Z!$G$46,IF(L16="sieć ciepłownicza",0,IF(L16="prąd",0,0)))))))</f>
        <v>1.0597306999999998</v>
      </c>
      <c r="AE16" s="568">
        <f>IF(L16="węgiel",T16*Z!$C$47,IF(L16="gaz",T16*Z!$D$47,IF(L16="drewno",T16*Z!$E$47,IF(L16="pelet",T16*Z!$F$47,IF(L16="olej opałowy",T16*Z!$G$47,IF(L16="sieć ciepłownicza",0,IF(L16="prąd",0,0)))))))</f>
        <v>1.1305E-6</v>
      </c>
      <c r="AF16" s="568">
        <f>IF(L16="węgiel",T16*Z!$C$48,IF(L16="gaz",T16*Z!$D$48,IF(L16="drewno",T16*Z!$E$48,IF(L16="pelet",T16*Z!$F$48,IF(L16="olej opałowy",T16*Z!$G$48,IF(L16="sieć ciepłownicza",0,IF(L16="prąd",0,0)))))))</f>
        <v>1.01745E-2</v>
      </c>
      <c r="AG16" s="568">
        <f>IF(L16="węgiel",T16*Z!$C$49,IF(L16="gaz",T16*Z!$D$49,IF(L16="drewno",T16*Z!$E$49,IF(L16="pelet",T16*Z!$F$49,IF(L16="olej opałowy",T16*Z!$G$49,IF(L16="sieć ciepłownicza",0,IF(L16="prąd",0,0)))))))</f>
        <v>1.8088000000000002E-3</v>
      </c>
      <c r="AH16" s="568">
        <f>IF(L16="węgiel",T16*Z!$C$50,IF(L16="gaz",T16*Z!$D$50,IF(L16="drewno",T16*Z!$E$50,IF(L16="pelet",T16*Z!$F$50,IF(L16="olej opałowy",T16*Z!$G$50,IF(L16="sieć ciepłownicza",0,IF(L16="prąd",0,0)))))))</f>
        <v>2.2741394725078228E-2</v>
      </c>
      <c r="AI16" s="568">
        <f>IF(P16="węgiel",S16*'Założenia,wskaźniki, listy'!$C$44,IF(P16="gaz",S16*'Założenia,wskaźniki, listy'!$D$44,IF(P16="drewno",S16*'Założenia,wskaźniki, listy'!$E$44,IF(P16="pelet",S16*'Założenia,wskaźniki, listy'!$F$44,IF(P16="olej opałowy",S16*'Założenia,wskaźniki, listy'!$G$44,IF(P16="sieć ciepłownicza",0,IF(P16="prąd",0,0)))))))</f>
        <v>0</v>
      </c>
      <c r="AJ16" s="568">
        <f>IF(Q16="węgiel",T16*'Założenia,wskaźniki, listy'!$C$45,IF(Q16="gaz",T16*'Założenia,wskaźniki, listy'!$D$45,IF(Q16="drewno",T16*'Założenia,wskaźniki, listy'!$E$45,IF(Q16="pelet",T16*'Założenia,wskaźniki, listy'!$F$45,IF(Q16="olej opałowy",T16*'Założenia,wskaźniki, listy'!$G$45,IF(Q16="sieć ciepłownicza",0,IF(Q16="prąd",0,0)))))))</f>
        <v>0</v>
      </c>
      <c r="AK16" s="568">
        <f>IF(Q16="węgiel",T16*'Założenia,wskaźniki, listy'!$C$46,IF(Q16="gaz",T16*'Założenia,wskaźniki, listy'!$D$46,IF(Q16="drewno",T16*'Założenia,wskaźniki, listy'!$E$46,IF(Q16="pelet",T16*'Założenia,wskaźniki, listy'!$F$46,IF(Q16="olej opałowy",T16*'Założenia,wskaźniki, listy'!$G$46,IF(Q16="sieć ciepłownicza",0,IF(Q16="prąd",0,0)))))))</f>
        <v>0</v>
      </c>
      <c r="AL16" s="568">
        <f>IF(Q16="węgiel",T16*'Założenia,wskaźniki, listy'!$C$47,IF(Q16="gaz",T16*'Założenia,wskaźniki, listy'!$D$47,IF(Q16="drewno",T16*'Założenia,wskaźniki, listy'!$E$47,IF(Q16="pelet",T16*'Założenia,wskaźniki, listy'!$F$47,IF(Q16="olej opałowy",T16*'Założenia,wskaźniki, listy'!$G$47,IF(Q16="sieć ciepłownicza",0,IF(Q16="prąd",0,0)))))))</f>
        <v>0</v>
      </c>
      <c r="AM16" s="568">
        <f>IF(Q16="węgiel",T16*'Założenia,wskaźniki, listy'!$C$48,IF(Q16="gaz",T16*'Założenia,wskaźniki, listy'!$D$48,IF(Q16="drewno",T16*'Założenia,wskaźniki, listy'!$E$48,IF(Q16="pelet",T16*'Założenia,wskaźniki, listy'!$F$48,IF(Q16="olej opałowy",T16*'Założenia,wskaźniki, listy'!$G$48,IF(Q16="sieć ciepłownicza",0,IF(Q16="prąd",0,0)))))))</f>
        <v>0</v>
      </c>
      <c r="AN16" s="568">
        <f>IF(Q16="węgiel",T16*'Założenia,wskaźniki, listy'!$C$49,IF(Q16="gaz",T16*'Założenia,wskaźniki, listy'!$D$49,IF(Q16="drewno",T16*'Założenia,wskaźniki, listy'!$E$49,IF(Q16="pelet",T16*'Założenia,wskaźniki, listy'!$F$49,IF(Q16="olej opałowy",T16*'Założenia,wskaźniki, listy'!$G$49,IF(Q16="sieć ciepłownicza",0,IF(Q16="prąd",0,0)))))))</f>
        <v>0</v>
      </c>
      <c r="AO16" s="568">
        <f>IF(Q16="węgiel",T16*'Założenia,wskaźniki, listy'!$C$50,IF(Q16="gaz",T16*'Założenia,wskaźniki, listy'!$D$50,IF(Q16="drewno",T16*'Założenia,wskaźniki, listy'!$E$50,IF(Q16="pelet",T16*'Założenia,wskaźniki, listy'!$F$50,IF(Q16="olej opałowy",T16*'Założenia,wskaźniki, listy'!$G$50,IF(Q16="sieć ciepłownicza",0,IF(Q16="prąd",0,0)))))))</f>
        <v>0</v>
      </c>
      <c r="AP16" s="568">
        <v>0.2</v>
      </c>
      <c r="AQ16" s="575">
        <v>0.1</v>
      </c>
      <c r="AR16" s="594">
        <f t="shared" si="3"/>
        <v>2.5436249999999999E-3</v>
      </c>
      <c r="AS16" s="594">
        <f t="shared" si="4"/>
        <v>2.2723050000000001E-3</v>
      </c>
      <c r="AT16" s="568">
        <f>IF(P16="energia el.",(IF(O16&gt;=50,AD16,W16)+AP16*Z!$J$46),(IF(O16&gt;=50,AD16,W16)+AP16*Z!$J$46))</f>
        <v>1.2260306999999999</v>
      </c>
      <c r="AU16" s="568">
        <f t="shared" si="5"/>
        <v>3.0523500000000001E-6</v>
      </c>
      <c r="AV16" s="568">
        <f t="shared" si="6"/>
        <v>1.01745E-2</v>
      </c>
      <c r="AW16" s="568">
        <f t="shared" si="7"/>
        <v>1.7861899999999998E-3</v>
      </c>
      <c r="AX16" s="568">
        <f t="shared" si="8"/>
        <v>2.2741394725078228E-2</v>
      </c>
      <c r="AY16" s="88" t="s">
        <v>88</v>
      </c>
      <c r="AZ16" s="567"/>
      <c r="BA16" s="564"/>
      <c r="BB16" s="567"/>
      <c r="BC16" s="567"/>
      <c r="BD16" s="567"/>
      <c r="BE16" s="567" t="s">
        <v>109</v>
      </c>
      <c r="BF16" s="567"/>
      <c r="BG16" s="567">
        <v>2018</v>
      </c>
      <c r="BH16" s="567"/>
      <c r="BI16" s="308">
        <f t="shared" si="9"/>
        <v>11.305</v>
      </c>
      <c r="BJ16" s="308" t="b">
        <f t="shared" si="10"/>
        <v>0</v>
      </c>
      <c r="BK16" s="319" t="b">
        <f t="shared" si="11"/>
        <v>0</v>
      </c>
      <c r="BL16" s="319">
        <f t="shared" si="12"/>
        <v>0</v>
      </c>
      <c r="BM16" s="319">
        <f t="shared" si="13"/>
        <v>160</v>
      </c>
      <c r="BN16" s="319">
        <f t="shared" si="14"/>
        <v>80</v>
      </c>
      <c r="BO16" s="319" t="b">
        <f t="shared" si="15"/>
        <v>0</v>
      </c>
      <c r="BP16" s="319">
        <f t="shared" si="16"/>
        <v>0</v>
      </c>
      <c r="BQ16" s="319" t="b">
        <f t="shared" si="17"/>
        <v>0</v>
      </c>
      <c r="BR16" s="319">
        <f t="shared" si="18"/>
        <v>0</v>
      </c>
      <c r="BS16" s="319" t="b">
        <f t="shared" si="19"/>
        <v>0</v>
      </c>
      <c r="BT16" s="319">
        <f t="shared" si="20"/>
        <v>0</v>
      </c>
      <c r="BU16" s="319">
        <f t="shared" si="21"/>
        <v>11.305</v>
      </c>
      <c r="BV16" s="319" t="b">
        <f t="shared" si="22"/>
        <v>0</v>
      </c>
      <c r="BW16" s="319" t="b">
        <f t="shared" si="23"/>
        <v>0</v>
      </c>
      <c r="BX16" s="319" t="b">
        <f t="shared" si="24"/>
        <v>0</v>
      </c>
      <c r="BY16" s="319" t="b">
        <f t="shared" si="25"/>
        <v>0</v>
      </c>
      <c r="BZ16" s="319" t="b">
        <f t="shared" si="26"/>
        <v>0</v>
      </c>
      <c r="CA16" s="319" t="b">
        <f t="shared" si="27"/>
        <v>0</v>
      </c>
      <c r="CB16" s="319" t="b">
        <f t="shared" si="28"/>
        <v>0</v>
      </c>
      <c r="CC16" s="319" t="b">
        <f t="shared" si="29"/>
        <v>0</v>
      </c>
      <c r="CD16" s="319" t="b">
        <f t="shared" si="30"/>
        <v>0</v>
      </c>
      <c r="CE16" s="319" t="b">
        <f t="shared" si="31"/>
        <v>0</v>
      </c>
      <c r="CF16" s="319">
        <f t="shared" si="32"/>
        <v>0.40260138750000002</v>
      </c>
    </row>
    <row r="17" spans="1:84" ht="17.25" customHeight="1">
      <c r="A17" s="992"/>
      <c r="B17" s="847">
        <f>SUM($C$5:C17)</f>
        <v>10</v>
      </c>
      <c r="C17" s="503" t="b">
        <f t="shared" si="36"/>
        <v>0</v>
      </c>
      <c r="D17" s="994"/>
      <c r="F17" s="847"/>
      <c r="G17" s="847"/>
      <c r="H17" s="88"/>
      <c r="I17" s="88"/>
      <c r="J17" s="88">
        <f>IF(F17&lt;=1966,'Założenia,wskaźniki, listy'!$H$4,IF(F17&gt;1966,IF(F17&lt;=1985,'Założenia,wskaźniki, listy'!$H$5,IF(F17&gt;1985,IF(F17&lt;=1992,'Założenia,wskaźniki, listy'!$H$6,IF(F17&gt;1992,IF(F17&lt;=1996,'Założenia,wskaźniki, listy'!$H$7,IF(F17&gt;1996,IF(F17&lt;=2013,'Założenia,wskaźniki, listy'!$H$8)))))))))</f>
        <v>290</v>
      </c>
      <c r="K17" s="864"/>
      <c r="L17" s="88" t="s">
        <v>79</v>
      </c>
      <c r="M17" s="88">
        <v>0.25</v>
      </c>
      <c r="N17" s="850"/>
      <c r="O17" s="850"/>
      <c r="P17" s="88"/>
      <c r="Q17" s="480">
        <f t="shared" ref="Q17" si="101">IF(R17&gt;0,(S17+T17+R17)/2,S17+T17)</f>
        <v>3.75</v>
      </c>
      <c r="R17" s="249">
        <f>IF(K17="kompletna",J17*G17*0.0036*'Założenia,wskaźniki, listy'!$C$15,IF(K17="częściowa",J17*G17*0.0036*'Założenia,wskaźniki, listy'!$C$16,IF(K17="brak",J17*G17*0.0036*'Założenia,wskaźniki, listy'!$C$17,0)))</f>
        <v>0</v>
      </c>
      <c r="S17" s="249">
        <f>H17*'Założenia,wskaźniki, listy'!$L$16</f>
        <v>0</v>
      </c>
      <c r="T17" s="249">
        <f>IF(L17="węgiel",M17*'Założenia,wskaźniki, listy'!$B$4,IF(L17="gaz",M17*'Założenia,wskaźniki, listy'!$B$5,IF(L17="drewno",M17*'Założenia,wskaźniki, listy'!$B$6,IF(L17="pelet",M17*'Założenia,wskaźniki, listy'!$B$7,IF(L17="olej opałowy",M17*'Założenia,wskaźniki, listy'!$B$8,IF(L17="sieć ciepłownicza",0,0))))))</f>
        <v>3.75</v>
      </c>
      <c r="U17" s="849">
        <f>IF(L17="węgiel",T17*'Założenia,wskaźniki, listy'!$C$44,IF(L17="gaz",T17*'Założenia,wskaźniki, listy'!$D$44,IF(L17="drewno",T17*'Założenia,wskaźniki, listy'!$E$44,IF(L17="pelet",T17*'Założenia,wskaźniki, listy'!$F$44,IF(L17="olej opałowy",T17*'Założenia,wskaźniki, listy'!$G$44,IF(L17="sieć ciepłownicza",0,IF(L17="prąd",0,0)))))))</f>
        <v>1.8E-3</v>
      </c>
      <c r="V17" s="849">
        <f>IF(L17="węgiel",T17*'Założenia,wskaźniki, listy'!$C$45,IF(L17="gaz",T17*'Założenia,wskaźniki, listy'!$D$45,IF(L17="drewno",T17*'Założenia,wskaźniki, listy'!$E$45,IF(L17="pelet",T17*'Założenia,wskaźniki, listy'!$F$45,IF(L17="olej opałowy",T17*'Założenia,wskaźniki, listy'!$G$45,IF(L17="sieć ciepłownicza",0,IF(L17="prąd",0,0)))))))</f>
        <v>1.7625E-3</v>
      </c>
      <c r="W17" s="849">
        <f>IF(L17="węgiel",T17*'Założenia,wskaźniki, listy'!$C$46,IF(L17="gaz",T17*'Założenia,wskaźniki, listy'!$D$46,IF(L17="drewno",T17*'Założenia,wskaźniki, listy'!$E$46,IF(L17="pelet",T17*'Założenia,wskaźniki, listy'!$F$46,IF(L17="olej opałowy",T17*'Założenia,wskaźniki, listy'!$G$46,IF(L17="sieć ciepłownicza",0,IF(L17="prąd",0,0)))))))</f>
        <v>0</v>
      </c>
      <c r="X17" s="849">
        <f>IF(L17="węgiel",T17*'Założenia,wskaźniki, listy'!$C$47,IF(L17="gaz",T17*'Założenia,wskaźniki, listy'!$D$47,IF(L17="drewno",T17*'Założenia,wskaźniki, listy'!$E$47,IF(L17="pelet",T17*'Założenia,wskaźniki, listy'!$F$47,IF(L17="olej opałowy",T17*'Założenia,wskaźniki, listy'!$G$47,IF(L17="sieć ciepłownicza",0,IF(L17="prąd",0,0)))))))</f>
        <v>4.5375000000000005E-7</v>
      </c>
      <c r="Y17" s="849">
        <f>IF(L17="węgiel",T17*'Założenia,wskaźniki, listy'!$C$48,IF(L17="gaz",T17*'Założenia,wskaźniki, listy'!$D$48,IF(L17="drewno",T17*'Założenia,wskaźniki, listy'!$E$48,IF(L17="pelet",T17*'Założenia,wskaźniki, listy'!$F$48,IF(L17="olej opałowy",T17*'Założenia,wskaźniki, listy'!$G$48,IF(L17="sieć ciepłownicza",0,IF(L17="prąd",0,0)))))))</f>
        <v>4.125E-5</v>
      </c>
      <c r="Z17" s="849">
        <f>IF(L17="węgiel",T17*'Założenia,wskaźniki, listy'!$C$49,IF(L17="gaz",T17*'Założenia,wskaźniki, listy'!$D$49,IF(L17="drewno",T17*'Założenia,wskaźniki, listy'!$E$49,IF(L17="pelet",T17*'Założenia,wskaźniki, listy'!$F$49,IF(L17="olej opałowy",T17*'Założenia,wskaźniki, listy'!$G$49,IF(L17="sieć ciepłownicza",0,IF(L17="prąd",0,0)))))))</f>
        <v>3.0000000000000003E-4</v>
      </c>
      <c r="AA17" s="849">
        <f>IF(L17="węgiel",T17*'Założenia,wskaźniki, listy'!$C$50,IF(L17="gaz",T17*'Założenia,wskaźniki, listy'!$D$50,IF(L17="drewno",T17*'Założenia,wskaźniki, listy'!$E$50,IF(L17="pelet",T17*'Założenia,wskaźniki, listy'!$F$50,IF(L17="olej opałowy",T17*'Założenia,wskaźniki, listy'!$G$50,IF(L17="sieć ciepłownicza",0,IF(L17="prąd",0,0)))))))</f>
        <v>6.7274999999999995E-4</v>
      </c>
      <c r="AB17" s="849">
        <f>IF(L17="węgiel",T17*Z!$C$44,IF(L17="gaz",T17*Z!$D$44,IF(L17="drewno",T17*Z!$E$44,IF(L17="pelet",T17*Z!$F$44,IF(L17="olej opałowy",T17*Z!$G$44,IF(L17="sieć ciepłownicza",0,IF(L17="prąd",0,0)))))))</f>
        <v>2.8499999999999999E-4</v>
      </c>
      <c r="AC17" s="849">
        <f>IF(L17="węgiel",T17*Z!$C$45,IF(L17="gaz",T17*Z!$D$45,IF(L17="drewno",T17*Z!$E$45,IF(L17="pelet",T17*Z!$F$45,IF(L17="olej opałowy",T17*Z!$G$45,IF(L17="sieć ciepłownicza",0,IF(L17="prąd",0,0)))))))</f>
        <v>2.8499999999999999E-4</v>
      </c>
      <c r="AD17" s="849">
        <f>IF(L17="węgiel",T17*Z!$C$46,IF(L17="gaz",T17*Z!$D$46,IF(L17="drewno",T17*Z!$E$46,IF(L17="pelet",T17*Z!$F$46,IF(L17="olej opałowy",T17*Z!$G$46,IF(L17="sieć ciepłownicza",0,IF(L17="prąd",0,0)))))))</f>
        <v>0</v>
      </c>
      <c r="AE17" s="849">
        <f>IF(L17="węgiel",T17*Z!$C$47,IF(L17="gaz",T17*Z!$D$47,IF(L17="drewno",T17*Z!$E$47,IF(L17="pelet",T17*Z!$F$47,IF(L17="olej opałowy",T17*Z!$G$47,IF(L17="sieć ciepłownicza",0,IF(L17="prąd",0,0)))))))</f>
        <v>1.875E-7</v>
      </c>
      <c r="AF17" s="849">
        <f>IF(L17="węgiel",T17*Z!$C$48,IF(L17="gaz",T17*Z!$D$48,IF(L17="drewno",T17*Z!$E$48,IF(L17="pelet",T17*Z!$F$48,IF(L17="olej opałowy",T17*Z!$G$48,IF(L17="sieć ciepłownicza",0,IF(L17="prąd",0,0)))))))</f>
        <v>7.5000000000000007E-5</v>
      </c>
      <c r="AG17" s="849">
        <f>IF(L17="węgiel",T17*Z!$C$49,IF(L17="gaz",T17*Z!$D$49,IF(L17="drewno",T17*Z!$E$49,IF(L17="pelet",T17*Z!$F$49,IF(L17="olej opałowy",T17*Z!$G$49,IF(L17="sieć ciepłownicza",0,IF(L17="prąd",0,0)))))))</f>
        <v>7.5000000000000007E-5</v>
      </c>
      <c r="AH17" s="849">
        <f>IF(L17="węgiel",T17*Z!$C$50,IF(L17="gaz",T17*Z!$D$50,IF(L17="drewno",T17*Z!$E$50,IF(L17="pelet",T17*Z!$F$50,IF(L17="olej opałowy",T17*Z!$G$50,IF(L17="sieć ciepłownicza",0,IF(L17="prąd",0,0)))))))</f>
        <v>6.7274999999999995E-4</v>
      </c>
      <c r="AI17" s="849">
        <f>IF(P17="węgiel",S17*'Założenia,wskaźniki, listy'!$C$44,IF(P17="gaz",S17*'Założenia,wskaźniki, listy'!$D$44,IF(P17="drewno",S17*'Założenia,wskaźniki, listy'!$E$44,IF(P17="pelet",S17*'Założenia,wskaźniki, listy'!$F$44,IF(P17="olej opałowy",S17*'Założenia,wskaźniki, listy'!$G$44,IF(P17="sieć ciepłownicza",0,IF(P17="prąd",0,0)))))))</f>
        <v>0</v>
      </c>
      <c r="AJ17" s="849">
        <f>IF(Q17="węgiel",T17*'Założenia,wskaźniki, listy'!$C$45,IF(Q17="gaz",T17*'Założenia,wskaźniki, listy'!$D$45,IF(Q17="drewno",T17*'Założenia,wskaźniki, listy'!$E$45,IF(Q17="pelet",T17*'Założenia,wskaźniki, listy'!$F$45,IF(Q17="olej opałowy",T17*'Założenia,wskaźniki, listy'!$G$45,IF(Q17="sieć ciepłownicza",0,IF(Q17="prąd",0,0)))))))</f>
        <v>0</v>
      </c>
      <c r="AK17" s="849">
        <f>IF(Q17="węgiel",T17*'Założenia,wskaźniki, listy'!$C$46,IF(Q17="gaz",T17*'Założenia,wskaźniki, listy'!$D$46,IF(Q17="drewno",T17*'Założenia,wskaźniki, listy'!$E$46,IF(Q17="pelet",T17*'Założenia,wskaźniki, listy'!$F$46,IF(Q17="olej opałowy",T17*'Założenia,wskaźniki, listy'!$G$46,IF(Q17="sieć ciepłownicza",0,IF(Q17="prąd",0,0)))))))</f>
        <v>0</v>
      </c>
      <c r="AL17" s="849">
        <f>IF(Q17="węgiel",T17*'Założenia,wskaźniki, listy'!$C$47,IF(Q17="gaz",T17*'Założenia,wskaźniki, listy'!$D$47,IF(Q17="drewno",T17*'Założenia,wskaźniki, listy'!$E$47,IF(Q17="pelet",T17*'Założenia,wskaźniki, listy'!$F$47,IF(Q17="olej opałowy",T17*'Założenia,wskaźniki, listy'!$G$47,IF(Q17="sieć ciepłownicza",0,IF(Q17="prąd",0,0)))))))</f>
        <v>0</v>
      </c>
      <c r="AM17" s="849">
        <f>IF(Q17="węgiel",T17*'Założenia,wskaźniki, listy'!$C$48,IF(Q17="gaz",T17*'Założenia,wskaźniki, listy'!$D$48,IF(Q17="drewno",T17*'Założenia,wskaźniki, listy'!$E$48,IF(Q17="pelet",T17*'Założenia,wskaźniki, listy'!$F$48,IF(Q17="olej opałowy",T17*'Założenia,wskaźniki, listy'!$G$48,IF(Q17="sieć ciepłownicza",0,IF(Q17="prąd",0,0)))))))</f>
        <v>0</v>
      </c>
      <c r="AN17" s="849">
        <f>IF(Q17="węgiel",T17*'Założenia,wskaźniki, listy'!$C$49,IF(Q17="gaz",T17*'Założenia,wskaźniki, listy'!$D$49,IF(Q17="drewno",T17*'Założenia,wskaźniki, listy'!$E$49,IF(Q17="pelet",T17*'Założenia,wskaźniki, listy'!$F$49,IF(Q17="olej opałowy",T17*'Założenia,wskaźniki, listy'!$G$49,IF(Q17="sieć ciepłownicza",0,IF(Q17="prąd",0,0)))))))</f>
        <v>0</v>
      </c>
      <c r="AO17" s="849">
        <f>IF(Q17="węgiel",T17*'Założenia,wskaźniki, listy'!$C$50,IF(Q17="gaz",T17*'Założenia,wskaźniki, listy'!$D$50,IF(Q17="drewno",T17*'Założenia,wskaźniki, listy'!$E$50,IF(Q17="pelet",T17*'Założenia,wskaźniki, listy'!$F$50,IF(Q17="olej opałowy",T17*'Założenia,wskaźniki, listy'!$G$50,IF(Q17="sieć ciepłownicza",0,IF(Q17="prąd",0,0)))))))</f>
        <v>0</v>
      </c>
      <c r="AP17" s="849"/>
      <c r="AQ17" s="849"/>
      <c r="AR17" s="849">
        <f t="shared" ref="AR17" si="102">AI17+IF(O17&gt;=50,AB17,U17)</f>
        <v>1.8E-3</v>
      </c>
      <c r="AS17" s="849">
        <f t="shared" ref="AS17" si="103">AJ17+IF(O17&gt;=50,AC17,V17)</f>
        <v>1.7625E-3</v>
      </c>
      <c r="AT17" s="849">
        <f>IF(P17="energia el.",(IF(O17&gt;=50,AD17,W17)+AP17*Z!$J$46),(IF(O17&gt;=50,AD17,W17)+AP17*Z!$J$46))</f>
        <v>0</v>
      </c>
      <c r="AU17" s="849">
        <f t="shared" ref="AU17" si="104">AL17+IF(O17&gt;=50,AE17,X17)</f>
        <v>4.5375000000000005E-7</v>
      </c>
      <c r="AV17" s="849">
        <f t="shared" ref="AV17" si="105">AM17+IF(O17&gt;=50,AF17,Y17)</f>
        <v>4.125E-5</v>
      </c>
      <c r="AW17" s="849">
        <f t="shared" ref="AW17" si="106">AN17+IF(O17&gt;=50,AG17,Z17)</f>
        <v>3.0000000000000003E-4</v>
      </c>
      <c r="AX17" s="849">
        <f t="shared" ref="AX17" si="107">AO17+IF(O17&gt;=50,AH17,AA17)</f>
        <v>6.7274999999999995E-4</v>
      </c>
      <c r="AY17" s="88"/>
      <c r="AZ17" s="850"/>
      <c r="BA17" s="583"/>
      <c r="BB17" s="850"/>
      <c r="BC17" s="850"/>
      <c r="BD17" s="850"/>
      <c r="BE17" s="850"/>
      <c r="BF17" s="850"/>
      <c r="BG17" s="850"/>
      <c r="BH17" s="850"/>
      <c r="BI17" s="308">
        <f t="shared" ref="BI17" si="108">IF(O17&lt;50,T17)</f>
        <v>3.75</v>
      </c>
      <c r="BJ17" s="308" t="b">
        <f t="shared" ref="BJ17" si="109">IF(O17&gt;=50,T17)</f>
        <v>0</v>
      </c>
      <c r="BK17" s="319">
        <f t="shared" ref="BK17" si="110">IF(F17&lt;=1966,G17)</f>
        <v>0</v>
      </c>
      <c r="BL17" s="319" t="b">
        <f t="shared" ref="BL17" si="111">IF(K17="kompletna",BK17,IF(K17="częściowa",0.5*BK17))</f>
        <v>0</v>
      </c>
      <c r="BM17" s="319" t="b">
        <f t="shared" ref="BM17" si="112">IF(F17&gt;1966,IF(F17&lt;=1985,G17))</f>
        <v>0</v>
      </c>
      <c r="BN17" s="319" t="b">
        <f t="shared" ref="BN17" si="113">IF(K17="kompletna",BM17,IF(K17="częściowa",0.5*BM17))</f>
        <v>0</v>
      </c>
      <c r="BO17" s="319" t="b">
        <f t="shared" ref="BO17" si="114">IF(F17&gt;1985,IF(F17&lt;=1992,G17))</f>
        <v>0</v>
      </c>
      <c r="BP17" s="319" t="b">
        <f t="shared" ref="BP17" si="115">IF(K17="kompletna",BO17,IF(K17="częściowa",0.5*BO17))</f>
        <v>0</v>
      </c>
      <c r="BQ17" s="319" t="b">
        <f t="shared" ref="BQ17" si="116">IF(F17&gt;1992,IF(F17&lt;=1996,G17))</f>
        <v>0</v>
      </c>
      <c r="BR17" s="319" t="b">
        <f t="shared" ref="BR17" si="117">IF(K17="kompletna",BQ17,IF(K17="częściowa",0.5*BQ17))</f>
        <v>0</v>
      </c>
      <c r="BS17" s="319" t="b">
        <f t="shared" ref="BS17" si="118">IF(F17&gt;1996,IF(F17&lt;=2014,G17))</f>
        <v>0</v>
      </c>
      <c r="BT17" s="319" t="b">
        <f t="shared" ref="BT17" si="119">IF(K17="kompletna",BS17,IF(K17="częściowa",0.5*BS17))</f>
        <v>0</v>
      </c>
      <c r="BU17" s="319" t="b">
        <f t="shared" ref="BU17" si="120">IF(L17="węgiel",T17)</f>
        <v>0</v>
      </c>
      <c r="BV17" s="319" t="b">
        <f t="shared" ref="BV17" si="121">IF(L17="gaz",Q17)</f>
        <v>0</v>
      </c>
      <c r="BW17" s="319">
        <f t="shared" ref="BW17" si="122">IF(L17="drewno",T17)</f>
        <v>3.75</v>
      </c>
      <c r="BX17" s="319" t="b">
        <f t="shared" ref="BX17" si="123">IF(L17="pelet",T17)</f>
        <v>0</v>
      </c>
      <c r="BY17" s="319" t="b">
        <f t="shared" ref="BY17" si="124">IF(L17="olej opałowy",T17)</f>
        <v>0</v>
      </c>
      <c r="BZ17" s="319" t="b">
        <f t="shared" ref="BZ17" si="125">IF(L17="energia el.",Q17)</f>
        <v>0</v>
      </c>
      <c r="CA17" s="319" t="b">
        <f t="shared" ref="CA17" si="126">IF(P17="węgiel",S17)</f>
        <v>0</v>
      </c>
      <c r="CB17" s="319" t="b">
        <f t="shared" ref="CB17" si="127">IF(P17="gaz",S17)</f>
        <v>0</v>
      </c>
      <c r="CC17" s="319" t="b">
        <f t="shared" ref="CC17" si="128">IF(P17="drewno",S17)</f>
        <v>0</v>
      </c>
      <c r="CD17" s="319" t="b">
        <f t="shared" ref="CD17" si="129">IF(P17="pelet",S17)</f>
        <v>0</v>
      </c>
      <c r="CE17" s="319" t="b">
        <f t="shared" ref="CE17" si="130">IF(P17="olej opałowy",S17)</f>
        <v>0</v>
      </c>
      <c r="CF17" s="319" t="b">
        <f t="shared" ref="CF17" si="131">IF(P17="energia el.",S17)</f>
        <v>0</v>
      </c>
    </row>
    <row r="18" spans="1:84" s="546" customFormat="1" ht="34.5" customHeight="1">
      <c r="A18" s="871">
        <v>11</v>
      </c>
      <c r="B18" s="566">
        <f>SUM($C$5:C18)</f>
        <v>11</v>
      </c>
      <c r="C18" s="503">
        <f t="shared" si="36"/>
        <v>1</v>
      </c>
      <c r="D18" s="865" t="s">
        <v>584</v>
      </c>
      <c r="E18" s="865" t="s">
        <v>585</v>
      </c>
      <c r="F18" s="858">
        <v>1986</v>
      </c>
      <c r="G18" s="848">
        <v>202</v>
      </c>
      <c r="H18" s="542"/>
      <c r="I18" s="542">
        <v>1</v>
      </c>
      <c r="J18" s="542">
        <f>IF(F18&lt;=1966,'Założenia,wskaźniki, listy'!$H$4,IF(F18&gt;1966,IF(F18&lt;=1985,'Założenia,wskaźniki, listy'!$H$5,IF(F18&gt;1985,IF(F18&lt;=1992,'Założenia,wskaźniki, listy'!$H$6,IF(F18&gt;1992,IF(F18&lt;=1996,'Założenia,wskaźniki, listy'!$H$7,IF(F18&gt;1996,IF(F18&lt;=2013,'Założenia,wskaźniki, listy'!$H$8)))))))))</f>
        <v>175</v>
      </c>
      <c r="K18" s="864" t="s">
        <v>33</v>
      </c>
      <c r="L18" s="542" t="s">
        <v>313</v>
      </c>
      <c r="M18" s="542"/>
      <c r="N18" s="543"/>
      <c r="O18" s="543"/>
      <c r="P18" s="542"/>
      <c r="Q18" s="480">
        <f t="shared" si="2"/>
        <v>51.403999999999996</v>
      </c>
      <c r="R18" s="249">
        <f>IF(K18="kompletna",J18*G18*0.0036*'Założenia,wskaźniki, listy'!$C$15,IF(K18="częściowa",J18*G18*0.0036*'Założenia,wskaźniki, listy'!$C$16,IF(K18="brak",J18*G18*0.0036*'Założenia,wskaźniki, listy'!$C$17,0)))</f>
        <v>101.80799999999999</v>
      </c>
      <c r="S18" s="249">
        <f>H18*'Założenia,wskaźniki, listy'!$L$16</f>
        <v>0</v>
      </c>
      <c r="T18" s="249">
        <v>1</v>
      </c>
      <c r="U18" s="544">
        <f>IF(L18="węgiel",T18*'Założenia,wskaźniki, listy'!$C$44,IF(L18="gaz",T18*'Założenia,wskaźniki, listy'!$D$44,IF(L18="drewno",T18*'Założenia,wskaźniki, listy'!$E$44,IF(L18="pelet",T18*'Założenia,wskaźniki, listy'!$F$44,IF(L18="olej opałowy",T18*'Założenia,wskaźniki, listy'!$G$44,IF(L18="sieć ciepłownicza",0,IF(L18="prąd",0,0)))))))</f>
        <v>0</v>
      </c>
      <c r="V18" s="544">
        <f>IF(L18="węgiel",T18*'Założenia,wskaźniki, listy'!$C$45,IF(L18="gaz",T18*'Założenia,wskaźniki, listy'!$D$45,IF(L18="drewno",T18*'Założenia,wskaźniki, listy'!$E$45,IF(L18="pelet",T18*'Założenia,wskaźniki, listy'!$F$45,IF(L18="olej opałowy",T18*'Założenia,wskaźniki, listy'!$G$45,IF(L18="sieć ciepłownicza",0,IF(L18="prąd",0,0)))))))</f>
        <v>0</v>
      </c>
      <c r="W18" s="544">
        <f>IF(L18="węgiel",T18*'Założenia,wskaźniki, listy'!$C$46,IF(L18="gaz",T18*'Założenia,wskaźniki, listy'!$D$46,IF(L18="drewno",T18*'Założenia,wskaźniki, listy'!$E$46,IF(L18="pelet",T18*'Założenia,wskaźniki, listy'!$F$46,IF(L18="olej opałowy",T18*'Założenia,wskaźniki, listy'!$G$46,IF(L18="sieć ciepłownicza",0,IF(L18="prąd",0,0)))))))</f>
        <v>0</v>
      </c>
      <c r="X18" s="544">
        <f>IF(L18="węgiel",T18*'Założenia,wskaźniki, listy'!$C$47,IF(L18="gaz",T18*'Założenia,wskaźniki, listy'!$D$47,IF(L18="drewno",T18*'Założenia,wskaźniki, listy'!$E$47,IF(L18="pelet",T18*'Założenia,wskaźniki, listy'!$F$47,IF(L18="olej opałowy",T18*'Założenia,wskaźniki, listy'!$G$47,IF(L18="sieć ciepłownicza",0,IF(L18="prąd",0,0)))))))</f>
        <v>0</v>
      </c>
      <c r="Y18" s="544">
        <f>IF(L18="węgiel",T18*'Założenia,wskaźniki, listy'!$C$48,IF(L18="gaz",T18*'Założenia,wskaźniki, listy'!$D$48,IF(L18="drewno",T18*'Założenia,wskaźniki, listy'!$E$48,IF(L18="pelet",T18*'Założenia,wskaźniki, listy'!$F$48,IF(L18="olej opałowy",T18*'Założenia,wskaźniki, listy'!$G$48,IF(L18="sieć ciepłownicza",0,IF(L18="prąd",0,0)))))))</f>
        <v>0</v>
      </c>
      <c r="Z18" s="544">
        <f>IF(L18="węgiel",T18*'Założenia,wskaźniki, listy'!$C$49,IF(L18="gaz",T18*'Założenia,wskaźniki, listy'!$D$49,IF(L18="drewno",T18*'Założenia,wskaźniki, listy'!$E$49,IF(L18="pelet",T18*'Założenia,wskaźniki, listy'!$F$49,IF(L18="olej opałowy",T18*'Założenia,wskaźniki, listy'!$G$49,IF(L18="sieć ciepłownicza",0,IF(L18="prąd",0,0)))))))</f>
        <v>0</v>
      </c>
      <c r="AA18" s="544">
        <f>IF(L18="węgiel",T18*'Założenia,wskaźniki, listy'!$C$50,IF(L18="gaz",T18*'Założenia,wskaźniki, listy'!$D$50,IF(L18="drewno",T18*'Założenia,wskaźniki, listy'!$E$50,IF(L18="pelet",T18*'Założenia,wskaźniki, listy'!$F$50,IF(L18="olej opałowy",T18*'Założenia,wskaźniki, listy'!$G$50,IF(L18="sieć ciepłownicza",0,IF(L18="prąd",0,0)))))))</f>
        <v>0</v>
      </c>
      <c r="AB18" s="544">
        <f>IF(L18="węgiel",T18*Z!$C$44,IF(L18="gaz",T18*Z!$D$44,IF(L18="drewno",T18*Z!$E$44,IF(L18="pelet",T18*Z!$F$44,IF(L18="olej opałowy",T18*Z!$G$44,IF(L18="sieć ciepłownicza",0,IF(L18="prąd",0,0)))))))</f>
        <v>0</v>
      </c>
      <c r="AC18" s="544">
        <f>IF(L18="węgiel",T18*Z!$C$45,IF(L18="gaz",T18*Z!$D$45,IF(L18="drewno",T18*Z!$E$45,IF(L18="pelet",T18*Z!$F$45,IF(L18="olej opałowy",T18*Z!$G$45,IF(L18="sieć ciepłownicza",0,IF(L18="prąd",0,0)))))))</f>
        <v>0</v>
      </c>
      <c r="AD18" s="544">
        <f>IF(L18="węgiel",T18*Z!$C$46,IF(L18="gaz",T18*Z!$D$46,IF(L18="drewno",T18*Z!$E$46,IF(L18="pelet",T18*Z!$F$46,IF(L18="olej opałowy",T18*Z!$G$46,IF(L18="sieć ciepłownicza",0,IF(L18="prąd",0,0)))))))</f>
        <v>0</v>
      </c>
      <c r="AE18" s="544">
        <f>IF(L18="węgiel",T18*Z!$C$47,IF(L18="gaz",T18*Z!$D$47,IF(L18="drewno",T18*Z!$E$47,IF(L18="pelet",T18*Z!$F$47,IF(L18="olej opałowy",T18*Z!$G$47,IF(L18="sieć ciepłownicza",0,IF(L18="prąd",0,0)))))))</f>
        <v>0</v>
      </c>
      <c r="AF18" s="544">
        <f>IF(L18="węgiel",T18*Z!$C$48,IF(L18="gaz",T18*Z!$D$48,IF(L18="drewno",T18*Z!$E$48,IF(L18="pelet",T18*Z!$F$48,IF(L18="olej opałowy",T18*Z!$G$48,IF(L18="sieć ciepłownicza",0,IF(L18="prąd",0,0)))))))</f>
        <v>0</v>
      </c>
      <c r="AG18" s="544">
        <f>IF(L18="węgiel",T18*Z!$C$49,IF(L18="gaz",T18*Z!$D$49,IF(L18="drewno",T18*Z!$E$49,IF(L18="pelet",T18*Z!$F$49,IF(L18="olej opałowy",T18*Z!$G$49,IF(L18="sieć ciepłownicza",0,IF(L18="prąd",0,0)))))))</f>
        <v>0</v>
      </c>
      <c r="AH18" s="544">
        <f>IF(L18="węgiel",T18*Z!$C$50,IF(L18="gaz",T18*Z!$D$50,IF(L18="drewno",T18*Z!$E$50,IF(L18="pelet",T18*Z!$F$50,IF(L18="olej opałowy",T18*Z!$G$50,IF(L18="sieć ciepłownicza",0,IF(L18="prąd",0,0)))))))</f>
        <v>0</v>
      </c>
      <c r="AI18" s="544">
        <f>IF(P18="węgiel",S18*'Założenia,wskaźniki, listy'!$C$44,IF(P18="gaz",S18*'Założenia,wskaźniki, listy'!$D$44,IF(P18="drewno",S18*'Założenia,wskaźniki, listy'!$E$44,IF(P18="pelet",S18*'Założenia,wskaźniki, listy'!$F$44,IF(P18="olej opałowy",S18*'Założenia,wskaźniki, listy'!$G$44,IF(P18="sieć ciepłownicza",0,IF(P18="prąd",0,0)))))))</f>
        <v>0</v>
      </c>
      <c r="AJ18" s="544">
        <f>IF(Q18="węgiel",T18*'Założenia,wskaźniki, listy'!$C$45,IF(Q18="gaz",T18*'Założenia,wskaźniki, listy'!$D$45,IF(Q18="drewno",T18*'Założenia,wskaźniki, listy'!$E$45,IF(Q18="pelet",T18*'Założenia,wskaźniki, listy'!$F$45,IF(Q18="olej opałowy",T18*'Założenia,wskaźniki, listy'!$G$45,IF(Q18="sieć ciepłownicza",0,IF(Q18="prąd",0,0)))))))</f>
        <v>0</v>
      </c>
      <c r="AK18" s="544">
        <f>IF(Q18="węgiel",T18*'Założenia,wskaźniki, listy'!$C$46,IF(Q18="gaz",T18*'Założenia,wskaźniki, listy'!$D$46,IF(Q18="drewno",T18*'Założenia,wskaźniki, listy'!$E$46,IF(Q18="pelet",T18*'Założenia,wskaźniki, listy'!$F$46,IF(Q18="olej opałowy",T18*'Założenia,wskaźniki, listy'!$G$46,IF(Q18="sieć ciepłownicza",0,IF(Q18="prąd",0,0)))))))</f>
        <v>0</v>
      </c>
      <c r="AL18" s="544">
        <f>IF(Q18="węgiel",T18*'Założenia,wskaźniki, listy'!$C$47,IF(Q18="gaz",T18*'Założenia,wskaźniki, listy'!$D$47,IF(Q18="drewno",T18*'Założenia,wskaźniki, listy'!$E$47,IF(Q18="pelet",T18*'Założenia,wskaźniki, listy'!$F$47,IF(Q18="olej opałowy",T18*'Założenia,wskaźniki, listy'!$G$47,IF(Q18="sieć ciepłownicza",0,IF(Q18="prąd",0,0)))))))</f>
        <v>0</v>
      </c>
      <c r="AM18" s="544">
        <f>IF(Q18="węgiel",T18*'Założenia,wskaźniki, listy'!$C$48,IF(Q18="gaz",T18*'Założenia,wskaźniki, listy'!$D$48,IF(Q18="drewno",T18*'Założenia,wskaźniki, listy'!$E$48,IF(Q18="pelet",T18*'Założenia,wskaźniki, listy'!$F$48,IF(Q18="olej opałowy",T18*'Założenia,wskaźniki, listy'!$G$48,IF(Q18="sieć ciepłownicza",0,IF(Q18="prąd",0,0)))))))</f>
        <v>0</v>
      </c>
      <c r="AN18" s="544">
        <f>IF(Q18="węgiel",T18*'Założenia,wskaźniki, listy'!$C$49,IF(Q18="gaz",T18*'Założenia,wskaźniki, listy'!$D$49,IF(Q18="drewno",T18*'Założenia,wskaźniki, listy'!$E$49,IF(Q18="pelet",T18*'Założenia,wskaźniki, listy'!$F$49,IF(Q18="olej opałowy",T18*'Założenia,wskaźniki, listy'!$G$49,IF(Q18="sieć ciepłownicza",0,IF(Q18="prąd",0,0)))))))</f>
        <v>0</v>
      </c>
      <c r="AO18" s="544">
        <f>IF(Q18="węgiel",T18*'Założenia,wskaźniki, listy'!$C$50,IF(Q18="gaz",T18*'Założenia,wskaźniki, listy'!$D$50,IF(Q18="drewno",T18*'Założenia,wskaźniki, listy'!$E$50,IF(Q18="pelet",T18*'Założenia,wskaźniki, listy'!$F$50,IF(Q18="olej opałowy",T18*'Założenia,wskaźniki, listy'!$G$50,IF(Q18="sieć ciepłownicza",0,IF(Q18="prąd",0,0)))))))</f>
        <v>0</v>
      </c>
      <c r="AP18" s="544">
        <v>0.4</v>
      </c>
      <c r="AQ18" s="575">
        <v>0.1</v>
      </c>
      <c r="AR18" s="594">
        <f t="shared" si="3"/>
        <v>0</v>
      </c>
      <c r="AS18" s="594">
        <f t="shared" si="4"/>
        <v>0</v>
      </c>
      <c r="AT18" s="568">
        <f>IF(P18="energia el.",(IF(O18&gt;=50,AD18,W18)+AP18*Z!$J$46),(IF(O18&gt;=50,AD18,W18)+AP18*Z!$J$46))</f>
        <v>0.33260000000000001</v>
      </c>
      <c r="AU18" s="544">
        <f t="shared" si="5"/>
        <v>0</v>
      </c>
      <c r="AV18" s="544">
        <f t="shared" si="6"/>
        <v>0</v>
      </c>
      <c r="AW18" s="544">
        <f t="shared" si="7"/>
        <v>0</v>
      </c>
      <c r="AX18" s="544">
        <f t="shared" si="8"/>
        <v>0</v>
      </c>
      <c r="AY18" s="542" t="s">
        <v>88</v>
      </c>
      <c r="AZ18" s="543"/>
      <c r="BA18" s="545"/>
      <c r="BB18" s="543"/>
      <c r="BC18" s="543"/>
      <c r="BD18" s="543"/>
      <c r="BE18" s="543"/>
      <c r="BF18" s="543"/>
      <c r="BG18" s="543"/>
      <c r="BH18" s="543"/>
      <c r="BI18" s="308">
        <f t="shared" si="9"/>
        <v>1</v>
      </c>
      <c r="BJ18" s="308" t="b">
        <f t="shared" si="10"/>
        <v>0</v>
      </c>
      <c r="BK18" s="547" t="b">
        <f t="shared" si="11"/>
        <v>0</v>
      </c>
      <c r="BL18" s="547">
        <f t="shared" si="12"/>
        <v>0</v>
      </c>
      <c r="BM18" s="547" t="b">
        <f t="shared" si="13"/>
        <v>0</v>
      </c>
      <c r="BN18" s="547">
        <f t="shared" si="14"/>
        <v>0</v>
      </c>
      <c r="BO18" s="547">
        <f t="shared" si="15"/>
        <v>202</v>
      </c>
      <c r="BP18" s="547">
        <f t="shared" si="16"/>
        <v>101</v>
      </c>
      <c r="BQ18" s="547" t="b">
        <f t="shared" si="17"/>
        <v>0</v>
      </c>
      <c r="BR18" s="547">
        <f t="shared" si="18"/>
        <v>0</v>
      </c>
      <c r="BS18" s="547" t="b">
        <f t="shared" si="19"/>
        <v>0</v>
      </c>
      <c r="BT18" s="547">
        <f t="shared" si="20"/>
        <v>0</v>
      </c>
      <c r="BU18" s="547" t="b">
        <f t="shared" si="21"/>
        <v>0</v>
      </c>
      <c r="BV18" s="547" t="b">
        <f t="shared" si="22"/>
        <v>0</v>
      </c>
      <c r="BW18" s="547" t="b">
        <f t="shared" si="23"/>
        <v>0</v>
      </c>
      <c r="BX18" s="547" t="b">
        <f t="shared" si="24"/>
        <v>0</v>
      </c>
      <c r="BY18" s="547" t="b">
        <f t="shared" si="25"/>
        <v>0</v>
      </c>
      <c r="BZ18" s="547">
        <f t="shared" si="26"/>
        <v>51.403999999999996</v>
      </c>
      <c r="CA18" s="547" t="b">
        <f t="shared" si="27"/>
        <v>0</v>
      </c>
      <c r="CB18" s="547" t="b">
        <f t="shared" si="28"/>
        <v>0</v>
      </c>
      <c r="CC18" s="547" t="b">
        <f t="shared" si="29"/>
        <v>0</v>
      </c>
      <c r="CD18" s="547" t="b">
        <f t="shared" si="30"/>
        <v>0</v>
      </c>
      <c r="CE18" s="547" t="b">
        <f t="shared" si="31"/>
        <v>0</v>
      </c>
      <c r="CF18" s="547" t="b">
        <f t="shared" si="32"/>
        <v>0</v>
      </c>
    </row>
    <row r="19" spans="1:84">
      <c r="A19" s="870">
        <v>12</v>
      </c>
      <c r="B19" s="566"/>
      <c r="C19" s="503">
        <f t="shared" ref="C19" si="132">IF(ISTEXT(D19),1)</f>
        <v>1</v>
      </c>
      <c r="D19" s="857" t="s">
        <v>612</v>
      </c>
      <c r="E19" s="857" t="s">
        <v>586</v>
      </c>
      <c r="F19" s="858">
        <v>1991</v>
      </c>
      <c r="G19" s="848">
        <v>110</v>
      </c>
      <c r="H19" s="88">
        <v>1</v>
      </c>
      <c r="I19" s="88"/>
      <c r="J19" s="88">
        <f>IF(F19&lt;=1966,'Założenia,wskaźniki, listy'!$H$4,IF(F19&gt;1966,IF(F19&lt;=1985,'Założenia,wskaźniki, listy'!$H$5,IF(F19&gt;1985,IF(F19&lt;=1992,'Założenia,wskaźniki, listy'!$H$6,IF(F19&gt;1992,IF(F19&lt;=1996,'Założenia,wskaźniki, listy'!$H$7,IF(F19&gt;1996,IF(F19&lt;=2013,'Założenia,wskaźniki, listy'!$H$8)))))))))</f>
        <v>175</v>
      </c>
      <c r="K19" s="864" t="s">
        <v>33</v>
      </c>
      <c r="L19" s="88"/>
      <c r="M19" s="88"/>
      <c r="N19" s="567" t="s">
        <v>408</v>
      </c>
      <c r="O19" s="567"/>
      <c r="P19" s="88" t="s">
        <v>313</v>
      </c>
      <c r="Q19" s="480">
        <f t="shared" si="2"/>
        <v>27.921300693749998</v>
      </c>
      <c r="R19" s="249">
        <f>IF(K19="kompletna",J19*G19*0.0036*'Założenia,wskaźniki, listy'!$C$15,IF(K19="częściowa",J19*G19*0.0036*'Założenia,wskaźniki, listy'!$C$16,IF(K19="brak",J19*G19*0.0036*'Założenia,wskaźniki, listy'!$C$17,0)))</f>
        <v>55.44</v>
      </c>
      <c r="S19" s="249">
        <f>H19*'Założenia,wskaźniki, listy'!$L$16</f>
        <v>0.40260138750000002</v>
      </c>
      <c r="T19" s="249">
        <f>IF(L19="węgiel",M19*'Założenia,wskaźniki, listy'!$B$4,IF(L19="gaz",M19*'Założenia,wskaźniki, listy'!$B$5,IF(L19="drewno",M19*'Założenia,wskaźniki, listy'!$B$6,IF(L19="pelet",M19*'Założenia,wskaźniki, listy'!$B$7,IF(L19="olej opałowy",M19*'Założenia,wskaźniki, listy'!$B$8,IF(L19="sieć ciepłownicza",0,0))))))</f>
        <v>0</v>
      </c>
      <c r="U19" s="568">
        <f>IF(L19="węgiel",T19*'Założenia,wskaźniki, listy'!$C$44,IF(L19="gaz",T19*'Założenia,wskaźniki, listy'!$D$44,IF(L19="drewno",T19*'Założenia,wskaźniki, listy'!$E$44,IF(L19="pelet",T19*'Założenia,wskaźniki, listy'!$F$44,IF(L19="olej opałowy",T19*'Założenia,wskaźniki, listy'!$G$44,IF(L19="sieć ciepłownicza",0,IF(L19="prąd",0,0)))))))</f>
        <v>0</v>
      </c>
      <c r="V19" s="568">
        <f>IF(L19="węgiel",T19*'Założenia,wskaźniki, listy'!$C$45,IF(L19="gaz",T19*'Założenia,wskaźniki, listy'!$D$45,IF(L19="drewno",T19*'Założenia,wskaźniki, listy'!$E$45,IF(L19="pelet",T19*'Założenia,wskaźniki, listy'!$F$45,IF(L19="olej opałowy",T19*'Założenia,wskaźniki, listy'!$G$45,IF(L19="sieć ciepłownicza",0,IF(L19="prąd",0,0)))))))</f>
        <v>0</v>
      </c>
      <c r="W19" s="568">
        <f>IF(L19="węgiel",T19*'Założenia,wskaźniki, listy'!$C$46,IF(L19="gaz",T19*'Założenia,wskaźniki, listy'!$D$46,IF(L19="drewno",T19*'Założenia,wskaźniki, listy'!$E$46,IF(L19="pelet",T19*'Założenia,wskaźniki, listy'!$F$46,IF(L19="olej opałowy",T19*'Założenia,wskaźniki, listy'!$G$46,IF(L19="sieć ciepłownicza",0,IF(L19="prąd",0,0)))))))</f>
        <v>0</v>
      </c>
      <c r="X19" s="568">
        <f>IF(L19="węgiel",T19*'Założenia,wskaźniki, listy'!$C$47,IF(L19="gaz",T19*'Założenia,wskaźniki, listy'!$D$47,IF(L19="drewno",T19*'Założenia,wskaźniki, listy'!$E$47,IF(L19="pelet",T19*'Założenia,wskaźniki, listy'!$F$47,IF(L19="olej opałowy",T19*'Założenia,wskaźniki, listy'!$G$47,IF(L19="sieć ciepłownicza",0,IF(L19="prąd",0,0)))))))</f>
        <v>0</v>
      </c>
      <c r="Y19" s="568">
        <f>IF(L19="węgiel",T19*'Założenia,wskaźniki, listy'!$C$48,IF(L19="gaz",T19*'Założenia,wskaźniki, listy'!$D$48,IF(L19="drewno",T19*'Założenia,wskaźniki, listy'!$E$48,IF(L19="pelet",T19*'Założenia,wskaźniki, listy'!$F$48,IF(L19="olej opałowy",T19*'Założenia,wskaźniki, listy'!$G$48,IF(L19="sieć ciepłownicza",0,IF(L19="prąd",0,0)))))))</f>
        <v>0</v>
      </c>
      <c r="Z19" s="568">
        <f>IF(L19="węgiel",T19*'Założenia,wskaźniki, listy'!$C$49,IF(L19="gaz",T19*'Założenia,wskaźniki, listy'!$D$49,IF(L19="drewno",T19*'Założenia,wskaźniki, listy'!$E$49,IF(L19="pelet",T19*'Założenia,wskaźniki, listy'!$F$49,IF(L19="olej opałowy",T19*'Założenia,wskaźniki, listy'!$G$49,IF(L19="sieć ciepłownicza",0,IF(L19="prąd",0,0)))))))</f>
        <v>0</v>
      </c>
      <c r="AA19" s="568">
        <f>IF(L19="węgiel",T19*'Założenia,wskaźniki, listy'!$C$50,IF(L19="gaz",T19*'Założenia,wskaźniki, listy'!$D$50,IF(L19="drewno",T19*'Założenia,wskaźniki, listy'!$E$50,IF(L19="pelet",T19*'Założenia,wskaźniki, listy'!$F$50,IF(L19="olej opałowy",T19*'Założenia,wskaźniki, listy'!$G$50,IF(L19="sieć ciepłownicza",0,IF(L19="prąd",0,0)))))))</f>
        <v>0</v>
      </c>
      <c r="AB19" s="568">
        <f>IF(L19="węgiel",T19*Z!$C$44,IF(L19="gaz",T19*Z!$D$44,IF(L19="drewno",T19*Z!$E$44,IF(L19="pelet",T19*Z!$F$44,IF(L19="olej opałowy",T19*Z!$G$44,IF(L19="sieć ciepłownicza",0,IF(L19="prąd",0,0)))))))</f>
        <v>0</v>
      </c>
      <c r="AC19" s="568">
        <f>IF(L19="węgiel",T19*Z!$C$45,IF(L19="gaz",T19*Z!$D$45,IF(L19="drewno",T19*Z!$E$45,IF(L19="pelet",T19*Z!$F$45,IF(L19="olej opałowy",T19*Z!$G$45,IF(L19="sieć ciepłownicza",0,IF(L19="prąd",0,0)))))))</f>
        <v>0</v>
      </c>
      <c r="AD19" s="568">
        <f>IF(L19="węgiel",T19*Z!$C$46,IF(L19="gaz",T19*Z!$D$46,IF(L19="drewno",T19*Z!$E$46,IF(L19="pelet",T19*Z!$F$46,IF(L19="olej opałowy",T19*Z!$G$46,IF(L19="sieć ciepłownicza",0,IF(L19="prąd",0,0)))))))</f>
        <v>0</v>
      </c>
      <c r="AE19" s="568">
        <f>IF(L19="węgiel",T19*Z!$C$47,IF(L19="gaz",T19*Z!$D$47,IF(L19="drewno",T19*Z!$E$47,IF(L19="pelet",T19*Z!$F$47,IF(L19="olej opałowy",T19*Z!$G$47,IF(L19="sieć ciepłownicza",0,IF(L19="prąd",0,0)))))))</f>
        <v>0</v>
      </c>
      <c r="AF19" s="568">
        <f>IF(L19="węgiel",T19*Z!$C$48,IF(L19="gaz",T19*Z!$D$48,IF(L19="drewno",T19*Z!$E$48,IF(L19="pelet",T19*Z!$F$48,IF(L19="olej opałowy",T19*Z!$G$48,IF(L19="sieć ciepłownicza",0,IF(L19="prąd",0,0)))))))</f>
        <v>0</v>
      </c>
      <c r="AG19" s="568">
        <f>IF(L19="węgiel",T19*Z!$C$49,IF(L19="gaz",T19*Z!$D$49,IF(L19="drewno",T19*Z!$E$49,IF(L19="pelet",T19*Z!$F$49,IF(L19="olej opałowy",T19*Z!$G$49,IF(L19="sieć ciepłownicza",0,IF(L19="prąd",0,0)))))))</f>
        <v>0</v>
      </c>
      <c r="AH19" s="568">
        <f>IF(L19="węgiel",T19*Z!$C$50,IF(L19="gaz",T19*Z!$D$50,IF(L19="drewno",T19*Z!$E$50,IF(L19="pelet",T19*Z!$F$50,IF(L19="olej opałowy",T19*Z!$G$50,IF(L19="sieć ciepłownicza",0,IF(L19="prąd",0,0)))))))</f>
        <v>0</v>
      </c>
      <c r="AI19" s="568">
        <f>IF(P19="węgiel",S19*'Założenia,wskaźniki, listy'!$C$44,IF(P19="gaz",S19*'Założenia,wskaźniki, listy'!$D$44,IF(P19="drewno",S19*'Założenia,wskaźniki, listy'!$E$44,IF(P19="pelet",S19*'Założenia,wskaźniki, listy'!$F$44,IF(P19="olej opałowy",S19*'Założenia,wskaźniki, listy'!$G$44,IF(P19="sieć ciepłownicza",0,IF(P19="prąd",0,0)))))))</f>
        <v>0</v>
      </c>
      <c r="AJ19" s="568">
        <f>IF(Q19="węgiel",T19*'Założenia,wskaźniki, listy'!$C$45,IF(Q19="gaz",T19*'Założenia,wskaźniki, listy'!$D$45,IF(Q19="drewno",T19*'Założenia,wskaźniki, listy'!$E$45,IF(Q19="pelet",T19*'Założenia,wskaźniki, listy'!$F$45,IF(Q19="olej opałowy",T19*'Założenia,wskaźniki, listy'!$G$45,IF(Q19="sieć ciepłownicza",0,IF(Q19="prąd",0,0)))))))</f>
        <v>0</v>
      </c>
      <c r="AK19" s="568">
        <f>IF(Q19="węgiel",T19*'Założenia,wskaźniki, listy'!$C$46,IF(Q19="gaz",T19*'Założenia,wskaźniki, listy'!$D$46,IF(Q19="drewno",T19*'Założenia,wskaźniki, listy'!$E$46,IF(Q19="pelet",T19*'Założenia,wskaźniki, listy'!$F$46,IF(Q19="olej opałowy",T19*'Założenia,wskaźniki, listy'!$G$46,IF(Q19="sieć ciepłownicza",0,IF(Q19="prąd",0,0)))))))</f>
        <v>0</v>
      </c>
      <c r="AL19" s="568">
        <f>IF(Q19="węgiel",T19*'Założenia,wskaźniki, listy'!$C$47,IF(Q19="gaz",T19*'Założenia,wskaźniki, listy'!$D$47,IF(Q19="drewno",T19*'Założenia,wskaźniki, listy'!$E$47,IF(Q19="pelet",T19*'Założenia,wskaźniki, listy'!$F$47,IF(Q19="olej opałowy",T19*'Założenia,wskaźniki, listy'!$G$47,IF(Q19="sieć ciepłownicza",0,IF(Q19="prąd",0,0)))))))</f>
        <v>0</v>
      </c>
      <c r="AM19" s="568">
        <f>IF(Q19="węgiel",T19*'Założenia,wskaźniki, listy'!$C$48,IF(Q19="gaz",T19*'Założenia,wskaźniki, listy'!$D$48,IF(Q19="drewno",T19*'Założenia,wskaźniki, listy'!$E$48,IF(Q19="pelet",T19*'Założenia,wskaźniki, listy'!$F$48,IF(Q19="olej opałowy",T19*'Założenia,wskaźniki, listy'!$G$48,IF(Q19="sieć ciepłownicza",0,IF(Q19="prąd",0,0)))))))</f>
        <v>0</v>
      </c>
      <c r="AN19" s="568">
        <f>IF(Q19="węgiel",T19*'Założenia,wskaźniki, listy'!$C$49,IF(Q19="gaz",T19*'Założenia,wskaźniki, listy'!$D$49,IF(Q19="drewno",T19*'Założenia,wskaźniki, listy'!$E$49,IF(Q19="pelet",T19*'Założenia,wskaźniki, listy'!$F$49,IF(Q19="olej opałowy",T19*'Założenia,wskaźniki, listy'!$G$49,IF(Q19="sieć ciepłownicza",0,IF(Q19="prąd",0,0)))))))</f>
        <v>0</v>
      </c>
      <c r="AO19" s="568">
        <f>IF(Q19="węgiel",T19*'Założenia,wskaźniki, listy'!$C$50,IF(Q19="gaz",T19*'Założenia,wskaźniki, listy'!$D$50,IF(Q19="drewno",T19*'Założenia,wskaźniki, listy'!$E$50,IF(Q19="pelet",T19*'Założenia,wskaźniki, listy'!$F$50,IF(Q19="olej opałowy",T19*'Założenia,wskaźniki, listy'!$G$50,IF(Q19="sieć ciepłownicza",0,IF(Q19="prąd",0,0)))))))</f>
        <v>0</v>
      </c>
      <c r="AP19" s="568">
        <v>0.3</v>
      </c>
      <c r="AQ19" s="575">
        <v>0.15</v>
      </c>
      <c r="AR19" s="594">
        <f t="shared" si="3"/>
        <v>0</v>
      </c>
      <c r="AS19" s="594">
        <f t="shared" si="4"/>
        <v>0</v>
      </c>
      <c r="AT19" s="568">
        <f>IF(P19="energia el.",(IF(O19&gt;=50,AD19,W19)+AP19*Z!$J$46),(IF(O19&gt;=50,AD19,W19)+AP19*Z!$J$46))</f>
        <v>0.24945000000000001</v>
      </c>
      <c r="AU19" s="568">
        <f t="shared" si="5"/>
        <v>0</v>
      </c>
      <c r="AV19" s="568">
        <f t="shared" si="6"/>
        <v>0</v>
      </c>
      <c r="AW19" s="568">
        <f t="shared" si="7"/>
        <v>0</v>
      </c>
      <c r="AX19" s="568">
        <f t="shared" si="8"/>
        <v>0</v>
      </c>
      <c r="AY19" s="88" t="s">
        <v>88</v>
      </c>
      <c r="AZ19" s="567"/>
      <c r="BA19" s="564"/>
      <c r="BB19" s="567"/>
      <c r="BC19" s="567"/>
      <c r="BD19" s="567"/>
      <c r="BE19" s="567"/>
      <c r="BF19" s="567"/>
      <c r="BG19" s="567"/>
      <c r="BH19" s="567"/>
      <c r="BI19" s="308">
        <f t="shared" si="9"/>
        <v>0</v>
      </c>
      <c r="BJ19" s="308" t="b">
        <f t="shared" si="10"/>
        <v>0</v>
      </c>
      <c r="BK19" s="319" t="b">
        <f t="shared" si="11"/>
        <v>0</v>
      </c>
      <c r="BL19" s="319">
        <f t="shared" si="12"/>
        <v>0</v>
      </c>
      <c r="BM19" s="319" t="b">
        <f t="shared" si="13"/>
        <v>0</v>
      </c>
      <c r="BN19" s="319">
        <f t="shared" si="14"/>
        <v>0</v>
      </c>
      <c r="BO19" s="319">
        <f t="shared" si="15"/>
        <v>110</v>
      </c>
      <c r="BP19" s="319">
        <f t="shared" si="16"/>
        <v>55</v>
      </c>
      <c r="BQ19" s="319" t="b">
        <f t="shared" si="17"/>
        <v>0</v>
      </c>
      <c r="BR19" s="319">
        <f t="shared" si="18"/>
        <v>0</v>
      </c>
      <c r="BS19" s="319" t="b">
        <f t="shared" si="19"/>
        <v>0</v>
      </c>
      <c r="BT19" s="319">
        <f t="shared" si="20"/>
        <v>0</v>
      </c>
      <c r="BU19" s="319" t="b">
        <f t="shared" si="21"/>
        <v>0</v>
      </c>
      <c r="BV19" s="319" t="b">
        <f t="shared" si="22"/>
        <v>0</v>
      </c>
      <c r="BW19" s="319" t="b">
        <f t="shared" si="23"/>
        <v>0</v>
      </c>
      <c r="BX19" s="319" t="b">
        <f t="shared" si="24"/>
        <v>0</v>
      </c>
      <c r="BY19" s="319" t="b">
        <f t="shared" si="25"/>
        <v>0</v>
      </c>
      <c r="BZ19" s="319" t="b">
        <f t="shared" si="26"/>
        <v>0</v>
      </c>
      <c r="CA19" s="319" t="b">
        <f t="shared" si="27"/>
        <v>0</v>
      </c>
      <c r="CB19" s="319" t="b">
        <f t="shared" si="28"/>
        <v>0</v>
      </c>
      <c r="CC19" s="319" t="b">
        <f t="shared" si="29"/>
        <v>0</v>
      </c>
      <c r="CD19" s="319" t="b">
        <f t="shared" si="30"/>
        <v>0</v>
      </c>
      <c r="CE19" s="319" t="b">
        <f t="shared" si="31"/>
        <v>0</v>
      </c>
      <c r="CF19" s="319">
        <f t="shared" si="32"/>
        <v>0.40260138750000002</v>
      </c>
    </row>
    <row r="20" spans="1:84" ht="15.75" customHeight="1">
      <c r="A20" s="870">
        <v>13</v>
      </c>
      <c r="B20" s="566"/>
      <c r="C20" s="503">
        <f t="shared" si="36"/>
        <v>1</v>
      </c>
      <c r="D20" s="865" t="s">
        <v>587</v>
      </c>
      <c r="E20" s="857" t="s">
        <v>588</v>
      </c>
      <c r="F20" s="858">
        <v>1962</v>
      </c>
      <c r="G20" s="848">
        <v>70</v>
      </c>
      <c r="H20" s="88">
        <v>4</v>
      </c>
      <c r="I20" s="88"/>
      <c r="J20" s="88">
        <f>IF(F20&lt;=1966,'Założenia,wskaźniki, listy'!$H$4,IF(F20&gt;1966,IF(F20&lt;=1985,'Założenia,wskaźniki, listy'!$H$5,IF(F20&gt;1985,IF(F20&lt;=1992,'Założenia,wskaźniki, listy'!$H$6,IF(F20&gt;1992,IF(F20&lt;=1996,'Założenia,wskaźniki, listy'!$H$7,IF(F20&gt;1996,IF(F20&lt;=2013,'Założenia,wskaźniki, listy'!$H$8)))))))))</f>
        <v>290</v>
      </c>
      <c r="K20" s="864" t="s">
        <v>33</v>
      </c>
      <c r="L20" s="88" t="s">
        <v>8</v>
      </c>
      <c r="M20" s="88"/>
      <c r="N20" s="567"/>
      <c r="O20" s="567"/>
      <c r="P20" s="88"/>
      <c r="Q20" s="480">
        <f t="shared" si="2"/>
        <v>60.074405550000002</v>
      </c>
      <c r="R20" s="249">
        <f>IF(K20="kompletna",J20*G20*0.0036*'Założenia,wskaźniki, listy'!$C$15,IF(K20="częściowa",J20*G20*0.0036*'Założenia,wskaźniki, listy'!$C$16,IF(K20="brak",J20*G20*0.0036*'Założenia,wskaźniki, listy'!$C$17,0)))</f>
        <v>58.463999999999999</v>
      </c>
      <c r="S20" s="249">
        <f>H20*'Założenia,wskaźniki, listy'!$L$16</f>
        <v>1.6104055500000001</v>
      </c>
      <c r="T20" s="249">
        <f>R20+S20</f>
        <v>60.074405550000002</v>
      </c>
      <c r="U20" s="568">
        <f>IF(L20="węgiel",T20*'Założenia,wskaźniki, listy'!$C$44,IF(L20="gaz",T20*'Założenia,wskaźniki, listy'!$D$44,IF(L20="drewno",T20*'Założenia,wskaźniki, listy'!$E$44,IF(L20="pelet",T20*'Założenia,wskaźniki, listy'!$F$44,IF(L20="olej opałowy",T20*'Założenia,wskaźniki, listy'!$G$44,IF(L20="sieć ciepłownicza",0,IF(L20="prąd",0,0)))))))</f>
        <v>1.351674124875E-2</v>
      </c>
      <c r="V20" s="568">
        <f>IF(L20="węgiel",T20*'Założenia,wskaźniki, listy'!$C$45,IF(L20="gaz",T20*'Założenia,wskaźniki, listy'!$D$45,IF(L20="drewno",T20*'Założenia,wskaźniki, listy'!$E$45,IF(L20="pelet",T20*'Założenia,wskaźniki, listy'!$F$45,IF(L20="olej opałowy",T20*'Założenia,wskaźniki, listy'!$G$45,IF(L20="sieć ciepłownicza",0,IF(L20="prąd",0,0)))))))</f>
        <v>1.207495551555E-2</v>
      </c>
      <c r="W20" s="568">
        <f>IF(L20="węgiel",T20*'Założenia,wskaźniki, listy'!$C$46,IF(L20="gaz",T20*'Założenia,wskaźniki, listy'!$D$46,IF(L20="drewno",T20*'Założenia,wskaźniki, listy'!$E$46,IF(L20="pelet",T20*'Założenia,wskaźniki, listy'!$F$46,IF(L20="olej opałowy",T20*'Założenia,wskaźniki, listy'!$G$46,IF(L20="sieć ciepłownicza",0,IF(L20="prąd",0,0)))))))</f>
        <v>5.6313747762569992</v>
      </c>
      <c r="X20" s="568">
        <f>IF(L20="węgiel",T20*'Założenia,wskaźniki, listy'!$C$47,IF(L20="gaz",T20*'Założenia,wskaźniki, listy'!$D$47,IF(L20="drewno",T20*'Założenia,wskaźniki, listy'!$E$47,IF(L20="pelet",T20*'Założenia,wskaźniki, listy'!$F$47,IF(L20="olej opałowy",T20*'Założenia,wskaźniki, listy'!$G$47,IF(L20="sieć ciepłownicza",0,IF(L20="prąd",0,0)))))))</f>
        <v>1.6220089498500002E-5</v>
      </c>
      <c r="Y20" s="568">
        <f>IF(L20="węgiel",T20*'Założenia,wskaźniki, listy'!$C$48,IF(L20="gaz",T20*'Założenia,wskaźniki, listy'!$D$48,IF(L20="drewno",T20*'Założenia,wskaźniki, listy'!$E$48,IF(L20="pelet",T20*'Założenia,wskaźniki, listy'!$F$48,IF(L20="olej opałowy",T20*'Założenia,wskaźniki, listy'!$G$48,IF(L20="sieć ciepłownicza",0,IF(L20="prąd",0,0)))))))</f>
        <v>5.4066964995000001E-2</v>
      </c>
      <c r="Z20" s="568">
        <f>IF(L20="węgiel",T20*'Założenia,wskaźniki, listy'!$C$49,IF(L20="gaz",T20*'Założenia,wskaźniki, listy'!$D$49,IF(L20="drewno",T20*'Założenia,wskaźniki, listy'!$E$49,IF(L20="pelet",T20*'Założenia,wskaźniki, listy'!$F$49,IF(L20="olej opałowy",T20*'Założenia,wskaźniki, listy'!$G$49,IF(L20="sieć ciepłownicza",0,IF(L20="prąd",0,0)))))))</f>
        <v>9.491756076899999E-3</v>
      </c>
      <c r="AA20" s="568">
        <f>IF(L20="węgiel",T20*'Założenia,wskaźniki, listy'!$C$50,IF(L20="gaz",T20*'Założenia,wskaźniki, listy'!$D$50,IF(L20="drewno",T20*'Założenia,wskaźniki, listy'!$E$50,IF(L20="pelet",T20*'Założenia,wskaźniki, listy'!$F$50,IF(L20="olej opałowy",T20*'Założenia,wskaźniki, listy'!$G$50,IF(L20="sieć ciepłownicza",0,IF(L20="prąd",0,0)))))))</f>
        <v>0.12084703843316942</v>
      </c>
      <c r="AB20" s="568">
        <f>IF(L20="węgiel",T20*Z!$C$44,IF(L20="gaz",T20*Z!$D$44,IF(L20="drewno",T20*Z!$E$44,IF(L20="pelet",T20*Z!$F$44,IF(L20="olej opałowy",T20*Z!$G$44,IF(L20="sieć ciepłownicza",0,IF(L20="prąd",0,0)))))))</f>
        <v>1.1414137054500001E-2</v>
      </c>
      <c r="AC20" s="568">
        <f>IF(L20="węgiel",T20*Z!$C$45,IF(L20="gaz",T20*Z!$D$45,IF(L20="drewno",T20*Z!$E$45,IF(L20="pelet",T20*Z!$F$45,IF(L20="olej opałowy",T20*Z!$G$45,IF(L20="sieć ciepłownicza",0,IF(L20="prąd",0,0)))))))</f>
        <v>1.0212648943500002E-2</v>
      </c>
      <c r="AD20" s="568">
        <f>IF(L20="węgiel",T20*Z!$C$46,IF(L20="gaz",T20*Z!$D$46,IF(L20="drewno",T20*Z!$E$46,IF(L20="pelet",T20*Z!$F$46,IF(L20="olej opałowy",T20*Z!$G$46,IF(L20="sieć ciepłownicza",0,IF(L20="prąd",0,0)))))))</f>
        <v>5.6313747762569992</v>
      </c>
      <c r="AE20" s="568">
        <f>IF(L20="węgiel",T20*Z!$C$47,IF(L20="gaz",T20*Z!$D$47,IF(L20="drewno",T20*Z!$E$47,IF(L20="pelet",T20*Z!$F$47,IF(L20="olej opałowy",T20*Z!$G$47,IF(L20="sieć ciepłownicza",0,IF(L20="prąd",0,0)))))))</f>
        <v>6.0074405550000001E-6</v>
      </c>
      <c r="AF20" s="568">
        <f>IF(L20="węgiel",T20*Z!$C$48,IF(L20="gaz",T20*Z!$D$48,IF(L20="drewno",T20*Z!$E$48,IF(L20="pelet",T20*Z!$F$48,IF(L20="olej opałowy",T20*Z!$G$48,IF(L20="sieć ciepłownicza",0,IF(L20="prąd",0,0)))))))</f>
        <v>5.4066964995000001E-2</v>
      </c>
      <c r="AG20" s="568">
        <f>IF(L20="węgiel",T20*Z!$C$49,IF(L20="gaz",T20*Z!$D$49,IF(L20="drewno",T20*Z!$E$49,IF(L20="pelet",T20*Z!$F$49,IF(L20="olej opałowy",T20*Z!$G$49,IF(L20="sieć ciepłownicza",0,IF(L20="prąd",0,0)))))))</f>
        <v>9.6119048880000009E-3</v>
      </c>
      <c r="AH20" s="568">
        <f>IF(L20="węgiel",T20*Z!$C$50,IF(L20="gaz",T20*Z!$D$50,IF(L20="drewno",T20*Z!$E$50,IF(L20="pelet",T20*Z!$F$50,IF(L20="olej opałowy",T20*Z!$G$50,IF(L20="sieć ciepłownicza",0,IF(L20="prąd",0,0)))))))</f>
        <v>0.12084703843316942</v>
      </c>
      <c r="AI20" s="568">
        <f>IF(P20="węgiel",S20*'Założenia,wskaźniki, listy'!$C$44,IF(P20="gaz",S20*'Założenia,wskaźniki, listy'!$D$44,IF(P20="drewno",S20*'Założenia,wskaźniki, listy'!$E$44,IF(P20="pelet",S20*'Założenia,wskaźniki, listy'!$F$44,IF(P20="olej opałowy",S20*'Założenia,wskaźniki, listy'!$G$44,IF(P20="sieć ciepłownicza",0,IF(P20="prąd",0,0)))))))</f>
        <v>0</v>
      </c>
      <c r="AJ20" s="568">
        <f>IF(Q20="węgiel",T20*'Założenia,wskaźniki, listy'!$C$45,IF(Q20="gaz",T20*'Założenia,wskaźniki, listy'!$D$45,IF(Q20="drewno",T20*'Założenia,wskaźniki, listy'!$E$45,IF(Q20="pelet",T20*'Założenia,wskaźniki, listy'!$F$45,IF(Q20="olej opałowy",T20*'Założenia,wskaźniki, listy'!$G$45,IF(Q20="sieć ciepłownicza",0,IF(Q20="prąd",0,0)))))))</f>
        <v>0</v>
      </c>
      <c r="AK20" s="568">
        <f>IF(Q20="węgiel",T20*'Założenia,wskaźniki, listy'!$C$46,IF(Q20="gaz",T20*'Założenia,wskaźniki, listy'!$D$46,IF(Q20="drewno",T20*'Założenia,wskaźniki, listy'!$E$46,IF(Q20="pelet",T20*'Założenia,wskaźniki, listy'!$F$46,IF(Q20="olej opałowy",T20*'Założenia,wskaźniki, listy'!$G$46,IF(Q20="sieć ciepłownicza",0,IF(Q20="prąd",0,0)))))))</f>
        <v>0</v>
      </c>
      <c r="AL20" s="568">
        <f>IF(Q20="węgiel",T20*'Założenia,wskaźniki, listy'!$C$47,IF(Q20="gaz",T20*'Założenia,wskaźniki, listy'!$D$47,IF(Q20="drewno",T20*'Założenia,wskaźniki, listy'!$E$47,IF(Q20="pelet",T20*'Założenia,wskaźniki, listy'!$F$47,IF(Q20="olej opałowy",T20*'Założenia,wskaźniki, listy'!$G$47,IF(Q20="sieć ciepłownicza",0,IF(Q20="prąd",0,0)))))))</f>
        <v>0</v>
      </c>
      <c r="AM20" s="568">
        <f>IF(Q20="węgiel",T20*'Założenia,wskaźniki, listy'!$C$48,IF(Q20="gaz",T20*'Założenia,wskaźniki, listy'!$D$48,IF(Q20="drewno",T20*'Założenia,wskaźniki, listy'!$E$48,IF(Q20="pelet",T20*'Założenia,wskaźniki, listy'!$F$48,IF(Q20="olej opałowy",T20*'Założenia,wskaźniki, listy'!$G$48,IF(Q20="sieć ciepłownicza",0,IF(Q20="prąd",0,0)))))))</f>
        <v>0</v>
      </c>
      <c r="AN20" s="568">
        <f>IF(Q20="węgiel",T20*'Założenia,wskaźniki, listy'!$C$49,IF(Q20="gaz",T20*'Założenia,wskaźniki, listy'!$D$49,IF(Q20="drewno",T20*'Założenia,wskaźniki, listy'!$E$49,IF(Q20="pelet",T20*'Założenia,wskaźniki, listy'!$F$49,IF(Q20="olej opałowy",T20*'Założenia,wskaźniki, listy'!$G$49,IF(Q20="sieć ciepłownicza",0,IF(Q20="prąd",0,0)))))))</f>
        <v>0</v>
      </c>
      <c r="AO20" s="568">
        <f>IF(Q20="węgiel",T20*'Założenia,wskaźniki, listy'!$C$50,IF(Q20="gaz",T20*'Założenia,wskaźniki, listy'!$D$50,IF(Q20="drewno",T20*'Założenia,wskaźniki, listy'!$E$50,IF(Q20="pelet",T20*'Założenia,wskaźniki, listy'!$F$50,IF(Q20="olej opałowy",T20*'Założenia,wskaźniki, listy'!$G$50,IF(Q20="sieć ciepłownicza",0,IF(Q20="prąd",0,0)))))))</f>
        <v>0</v>
      </c>
      <c r="AP20" s="568">
        <v>1</v>
      </c>
      <c r="AQ20" s="575">
        <v>0.5</v>
      </c>
      <c r="AR20" s="594">
        <f t="shared" si="3"/>
        <v>1.351674124875E-2</v>
      </c>
      <c r="AS20" s="594">
        <f t="shared" si="4"/>
        <v>1.207495551555E-2</v>
      </c>
      <c r="AT20" s="568">
        <f>IF(P20="energia el.",(IF(O20&gt;=50,AD20,W20)+AP20*Z!$J$46),(IF(O20&gt;=50,AD20,W20)+AP20*Z!$J$46))</f>
        <v>6.4628747762569994</v>
      </c>
      <c r="AU20" s="568">
        <f t="shared" si="5"/>
        <v>1.6220089498500002E-5</v>
      </c>
      <c r="AV20" s="568">
        <f t="shared" si="6"/>
        <v>5.4066964995000001E-2</v>
      </c>
      <c r="AW20" s="568">
        <f t="shared" si="7"/>
        <v>9.491756076899999E-3</v>
      </c>
      <c r="AX20" s="568">
        <f t="shared" si="8"/>
        <v>0.12084703843316942</v>
      </c>
      <c r="AY20" s="88"/>
      <c r="AZ20" s="567"/>
      <c r="BA20" s="564"/>
      <c r="BB20" s="567"/>
      <c r="BC20" s="567"/>
      <c r="BD20" s="567"/>
      <c r="BE20" s="567"/>
      <c r="BF20" s="567"/>
      <c r="BG20" s="567"/>
      <c r="BH20" s="567"/>
      <c r="BI20" s="308">
        <f t="shared" si="9"/>
        <v>60.074405550000002</v>
      </c>
      <c r="BJ20" s="308" t="b">
        <f t="shared" si="10"/>
        <v>0</v>
      </c>
      <c r="BK20" s="319">
        <f t="shared" si="11"/>
        <v>70</v>
      </c>
      <c r="BL20" s="319">
        <f t="shared" si="12"/>
        <v>35</v>
      </c>
      <c r="BM20" s="319" t="b">
        <f t="shared" si="13"/>
        <v>0</v>
      </c>
      <c r="BN20" s="319">
        <f t="shared" si="14"/>
        <v>0</v>
      </c>
      <c r="BO20" s="319" t="b">
        <f t="shared" si="15"/>
        <v>0</v>
      </c>
      <c r="BP20" s="319">
        <f t="shared" si="16"/>
        <v>0</v>
      </c>
      <c r="BQ20" s="319" t="b">
        <f t="shared" si="17"/>
        <v>0</v>
      </c>
      <c r="BR20" s="319">
        <f t="shared" si="18"/>
        <v>0</v>
      </c>
      <c r="BS20" s="319" t="b">
        <f t="shared" si="19"/>
        <v>0</v>
      </c>
      <c r="BT20" s="319">
        <f t="shared" si="20"/>
        <v>0</v>
      </c>
      <c r="BU20" s="319">
        <f t="shared" si="21"/>
        <v>60.074405550000002</v>
      </c>
      <c r="BV20" s="319" t="b">
        <f t="shared" si="22"/>
        <v>0</v>
      </c>
      <c r="BW20" s="319" t="b">
        <f t="shared" si="23"/>
        <v>0</v>
      </c>
      <c r="BX20" s="319" t="b">
        <f t="shared" si="24"/>
        <v>0</v>
      </c>
      <c r="BY20" s="319" t="b">
        <f t="shared" si="25"/>
        <v>0</v>
      </c>
      <c r="BZ20" s="319" t="b">
        <f t="shared" si="26"/>
        <v>0</v>
      </c>
      <c r="CA20" s="319" t="b">
        <f t="shared" si="27"/>
        <v>0</v>
      </c>
      <c r="CB20" s="319" t="b">
        <f t="shared" si="28"/>
        <v>0</v>
      </c>
      <c r="CC20" s="319" t="b">
        <f t="shared" si="29"/>
        <v>0</v>
      </c>
      <c r="CD20" s="319" t="b">
        <f t="shared" si="30"/>
        <v>0</v>
      </c>
      <c r="CE20" s="319" t="b">
        <f t="shared" si="31"/>
        <v>0</v>
      </c>
      <c r="CF20" s="319" t="b">
        <f t="shared" si="32"/>
        <v>0</v>
      </c>
    </row>
    <row r="21" spans="1:84" ht="13.2">
      <c r="A21" s="870">
        <v>14</v>
      </c>
      <c r="B21" s="566">
        <f>SUM($C$5:C21)</f>
        <v>14</v>
      </c>
      <c r="C21" s="503">
        <f t="shared" ref="C21:C25" si="133">IF(ISTEXT(D21),1)</f>
        <v>1</v>
      </c>
      <c r="D21" s="857" t="s">
        <v>602</v>
      </c>
      <c r="E21" s="857" t="s">
        <v>589</v>
      </c>
      <c r="F21" s="858">
        <v>1963</v>
      </c>
      <c r="G21" s="848">
        <v>731</v>
      </c>
      <c r="H21" s="88">
        <v>8</v>
      </c>
      <c r="I21" s="88"/>
      <c r="J21" s="88">
        <f>IF(F21&lt;=1966,'Założenia,wskaźniki, listy'!$H$4,IF(F21&gt;1966,IF(F21&lt;=1985,'Założenia,wskaźniki, listy'!$H$5,IF(F21&gt;1985,IF(F21&lt;=1992,'Założenia,wskaźniki, listy'!$H$6,IF(F21&gt;1992,IF(F21&lt;=1996,'Założenia,wskaźniki, listy'!$H$7,IF(F21&gt;1996,IF(F21&lt;=2013,'Założenia,wskaźniki, listy'!$H$8)))))))))</f>
        <v>290</v>
      </c>
      <c r="K21" s="864" t="s">
        <v>31</v>
      </c>
      <c r="L21" s="88" t="s">
        <v>8</v>
      </c>
      <c r="M21" s="88"/>
      <c r="N21" s="567"/>
      <c r="O21" s="567"/>
      <c r="P21" s="88"/>
      <c r="Q21" s="480">
        <f t="shared" si="2"/>
        <v>478.99050693749996</v>
      </c>
      <c r="R21" s="249">
        <f>IF(K21="kompletna",J21*G21*0.0036*'Założenia,wskaźniki, listy'!$C$15,IF(K21="częściowa",J21*G21*0.0036*'Założenia,wskaźniki, listy'!$C$16,IF(K21="brak",J21*G21*0.0036*'Założenia,wskaźniki, listy'!$C$17,0)))</f>
        <v>763.16399999999999</v>
      </c>
      <c r="S21" s="249">
        <f>H21*'Założenia,wskaźniki, listy'!$L$16</f>
        <v>3.2208111000000001</v>
      </c>
      <c r="T21" s="249">
        <f>(R21+S21)/4</f>
        <v>191.59620277499999</v>
      </c>
      <c r="U21" s="568">
        <f>IF(L21="węgiel",T21*'Założenia,wskaźniki, listy'!$C$44,IF(L21="gaz",T21*'Założenia,wskaźniki, listy'!$D$44,IF(L21="drewno",T21*'Założenia,wskaźniki, listy'!$E$44,IF(L21="pelet",T21*'Założenia,wskaźniki, listy'!$F$44,IF(L21="olej opałowy",T21*'Założenia,wskaźniki, listy'!$G$44,IF(L21="sieć ciepłownicza",0,IF(L21="prąd",0,0)))))))</f>
        <v>4.3109145624374998E-2</v>
      </c>
      <c r="V21" s="568">
        <f>IF(L21="węgiel",T21*'Założenia,wskaźniki, listy'!$C$45,IF(L21="gaz",T21*'Założenia,wskaźniki, listy'!$D$45,IF(L21="drewno",T21*'Założenia,wskaźniki, listy'!$E$45,IF(L21="pelet",T21*'Założenia,wskaźniki, listy'!$F$45,IF(L21="olej opałowy",T21*'Założenia,wskaźniki, listy'!$G$45,IF(L21="sieć ciepłownicza",0,IF(L21="prąd",0,0)))))))</f>
        <v>3.8510836757775002E-2</v>
      </c>
      <c r="W21" s="568">
        <f>IF(L21="węgiel",T21*'Założenia,wskaźniki, listy'!$C$46,IF(L21="gaz",T21*'Założenia,wskaźniki, listy'!$D$46,IF(L21="drewno",T21*'Założenia,wskaźniki, listy'!$E$46,IF(L21="pelet",T21*'Założenia,wskaźniki, listy'!$F$46,IF(L21="olej opałowy",T21*'Założenia,wskaźniki, listy'!$G$46,IF(L21="sieć ciepłownicza",0,IF(L21="prąd",0,0)))))))</f>
        <v>17.960228048128499</v>
      </c>
      <c r="X21" s="568">
        <f>IF(L21="węgiel",T21*'Założenia,wskaźniki, listy'!$C$47,IF(L21="gaz",T21*'Założenia,wskaźniki, listy'!$D$47,IF(L21="drewno",T21*'Założenia,wskaźniki, listy'!$E$47,IF(L21="pelet",T21*'Założenia,wskaźniki, listy'!$F$47,IF(L21="olej opałowy",T21*'Założenia,wskaźniki, listy'!$G$47,IF(L21="sieć ciepłownicza",0,IF(L21="prąd",0,0)))))))</f>
        <v>5.1730974749249999E-5</v>
      </c>
      <c r="Y21" s="568">
        <f>IF(L21="węgiel",T21*'Założenia,wskaźniki, listy'!$C$48,IF(L21="gaz",T21*'Założenia,wskaźniki, listy'!$D$48,IF(L21="drewno",T21*'Założenia,wskaźniki, listy'!$E$48,IF(L21="pelet",T21*'Założenia,wskaźniki, listy'!$F$48,IF(L21="olej opałowy",T21*'Założenia,wskaźniki, listy'!$G$48,IF(L21="sieć ciepłownicza",0,IF(L21="prąd",0,0)))))))</f>
        <v>0.17243658249749999</v>
      </c>
      <c r="Z21" s="568">
        <f>IF(L21="węgiel",T21*'Założenia,wskaźniki, listy'!$C$49,IF(L21="gaz",T21*'Założenia,wskaźniki, listy'!$D$49,IF(L21="drewno",T21*'Założenia,wskaźniki, listy'!$E$49,IF(L21="pelet",T21*'Założenia,wskaźniki, listy'!$F$49,IF(L21="olej opałowy",T21*'Założenia,wskaźniki, listy'!$G$49,IF(L21="sieć ciepłownicza",0,IF(L21="prąd",0,0)))))))</f>
        <v>3.0272200038449999E-2</v>
      </c>
      <c r="AA21" s="568">
        <f>IF(L21="węgiel",T21*'Założenia,wskaźniki, listy'!$C$50,IF(L21="gaz",T21*'Założenia,wskaźniki, listy'!$D$50,IF(L21="drewno",T21*'Założenia,wskaźniki, listy'!$E$50,IF(L21="pelet",T21*'Założenia,wskaźniki, listy'!$F$50,IF(L21="olej opałowy",T21*'Założenia,wskaźniki, listy'!$G$50,IF(L21="sieć ciepłownicza",0,IF(L21="prąd",0,0)))))))</f>
        <v>0.38541927245753238</v>
      </c>
      <c r="AB21" s="568">
        <f>IF(L21="węgiel",T21*Z!$C$44,IF(L21="gaz",T21*Z!$D$44,IF(L21="drewno",T21*Z!$E$44,IF(L21="pelet",T21*Z!$F$44,IF(L21="olej opałowy",T21*Z!$G$44,IF(L21="sieć ciepłownicza",0,IF(L21="prąd",0,0)))))))</f>
        <v>3.6403278527249998E-2</v>
      </c>
      <c r="AC21" s="568">
        <f>IF(L21="węgiel",T21*Z!$C$45,IF(L21="gaz",T21*Z!$D$45,IF(L21="drewno",T21*Z!$E$45,IF(L21="pelet",T21*Z!$F$45,IF(L21="olej opałowy",T21*Z!$G$45,IF(L21="sieć ciepłownicza",0,IF(L21="prąd",0,0)))))))</f>
        <v>3.2571354471750004E-2</v>
      </c>
      <c r="AD21" s="568">
        <f>IF(L21="węgiel",T21*Z!$C$46,IF(L21="gaz",T21*Z!$D$46,IF(L21="drewno",T21*Z!$E$46,IF(L21="pelet",T21*Z!$F$46,IF(L21="olej opałowy",T21*Z!$G$46,IF(L21="sieć ciepłownicza",0,IF(L21="prąd",0,0)))))))</f>
        <v>17.960228048128499</v>
      </c>
      <c r="AE21" s="568">
        <f>IF(L21="węgiel",T21*Z!$C$47,IF(L21="gaz",T21*Z!$D$47,IF(L21="drewno",T21*Z!$E$47,IF(L21="pelet",T21*Z!$F$47,IF(L21="olej opałowy",T21*Z!$G$47,IF(L21="sieć ciepłownicza",0,IF(L21="prąd",0,0)))))))</f>
        <v>1.9159620277499998E-5</v>
      </c>
      <c r="AF21" s="568">
        <f>IF(L21="węgiel",T21*Z!$C$48,IF(L21="gaz",T21*Z!$D$48,IF(L21="drewno",T21*Z!$E$48,IF(L21="pelet",T21*Z!$F$48,IF(L21="olej opałowy",T21*Z!$G$48,IF(L21="sieć ciepłownicza",0,IF(L21="prąd",0,0)))))))</f>
        <v>0.17243658249749999</v>
      </c>
      <c r="AG21" s="568">
        <f>IF(L21="węgiel",T21*Z!$C$49,IF(L21="gaz",T21*Z!$D$49,IF(L21="drewno",T21*Z!$E$49,IF(L21="pelet",T21*Z!$F$49,IF(L21="olej opałowy",T21*Z!$G$49,IF(L21="sieć ciepłownicza",0,IF(L21="prąd",0,0)))))))</f>
        <v>3.0655392444E-2</v>
      </c>
      <c r="AH21" s="568">
        <f>IF(L21="węgiel",T21*Z!$C$50,IF(L21="gaz",T21*Z!$D$50,IF(L21="drewno",T21*Z!$E$50,IF(L21="pelet",T21*Z!$F$50,IF(L21="olej opałowy",T21*Z!$G$50,IF(L21="sieć ciepłownicza",0,IF(L21="prąd",0,0)))))))</f>
        <v>0.38541927245753238</v>
      </c>
      <c r="AI21" s="568">
        <f>IF(P21="węgiel",S21*'Założenia,wskaźniki, listy'!$C$44,IF(P21="gaz",S21*'Założenia,wskaźniki, listy'!$D$44,IF(P21="drewno",S21*'Założenia,wskaźniki, listy'!$E$44,IF(P21="pelet",S21*'Założenia,wskaźniki, listy'!$F$44,IF(P21="olej opałowy",S21*'Założenia,wskaźniki, listy'!$G$44,IF(P21="sieć ciepłownicza",0,IF(P21="prąd",0,0)))))))</f>
        <v>0</v>
      </c>
      <c r="AJ21" s="568">
        <f>IF(Q21="węgiel",T21*'Założenia,wskaźniki, listy'!$C$45,IF(Q21="gaz",T21*'Założenia,wskaźniki, listy'!$D$45,IF(Q21="drewno",T21*'Założenia,wskaźniki, listy'!$E$45,IF(Q21="pelet",T21*'Założenia,wskaźniki, listy'!$F$45,IF(Q21="olej opałowy",T21*'Założenia,wskaźniki, listy'!$G$45,IF(Q21="sieć ciepłownicza",0,IF(Q21="prąd",0,0)))))))</f>
        <v>0</v>
      </c>
      <c r="AK21" s="568">
        <f>IF(Q21="węgiel",T21*'Założenia,wskaźniki, listy'!$C$46,IF(Q21="gaz",T21*'Założenia,wskaźniki, listy'!$D$46,IF(Q21="drewno",T21*'Założenia,wskaźniki, listy'!$E$46,IF(Q21="pelet",T21*'Założenia,wskaźniki, listy'!$F$46,IF(Q21="olej opałowy",T21*'Założenia,wskaźniki, listy'!$G$46,IF(Q21="sieć ciepłownicza",0,IF(Q21="prąd",0,0)))))))</f>
        <v>0</v>
      </c>
      <c r="AL21" s="568">
        <f>IF(Q21="węgiel",T21*'Założenia,wskaźniki, listy'!$C$47,IF(Q21="gaz",T21*'Założenia,wskaźniki, listy'!$D$47,IF(Q21="drewno",T21*'Założenia,wskaźniki, listy'!$E$47,IF(Q21="pelet",T21*'Założenia,wskaźniki, listy'!$F$47,IF(Q21="olej opałowy",T21*'Założenia,wskaźniki, listy'!$G$47,IF(Q21="sieć ciepłownicza",0,IF(Q21="prąd",0,0)))))))</f>
        <v>0</v>
      </c>
      <c r="AM21" s="568">
        <f>IF(Q21="węgiel",T21*'Założenia,wskaźniki, listy'!$C$48,IF(Q21="gaz",T21*'Założenia,wskaźniki, listy'!$D$48,IF(Q21="drewno",T21*'Założenia,wskaźniki, listy'!$E$48,IF(Q21="pelet",T21*'Założenia,wskaźniki, listy'!$F$48,IF(Q21="olej opałowy",T21*'Założenia,wskaźniki, listy'!$G$48,IF(Q21="sieć ciepłownicza",0,IF(Q21="prąd",0,0)))))))</f>
        <v>0</v>
      </c>
      <c r="AN21" s="568">
        <f>IF(Q21="węgiel",T21*'Założenia,wskaźniki, listy'!$C$49,IF(Q21="gaz",T21*'Założenia,wskaźniki, listy'!$D$49,IF(Q21="drewno",T21*'Założenia,wskaźniki, listy'!$E$49,IF(Q21="pelet",T21*'Założenia,wskaźniki, listy'!$F$49,IF(Q21="olej opałowy",T21*'Założenia,wskaźniki, listy'!$G$49,IF(Q21="sieć ciepłownicza",0,IF(Q21="prąd",0,0)))))))</f>
        <v>0</v>
      </c>
      <c r="AO21" s="568">
        <f>IF(Q21="węgiel",T21*'Założenia,wskaźniki, listy'!$C$50,IF(Q21="gaz",T21*'Założenia,wskaźniki, listy'!$D$50,IF(Q21="drewno",T21*'Założenia,wskaźniki, listy'!$E$50,IF(Q21="pelet",T21*'Założenia,wskaźniki, listy'!$F$50,IF(Q21="olej opałowy",T21*'Założenia,wskaźniki, listy'!$G$50,IF(Q21="sieć ciepłownicza",0,IF(Q21="prąd",0,0)))))))</f>
        <v>0</v>
      </c>
      <c r="AP21" s="568">
        <v>1.5</v>
      </c>
      <c r="AQ21" s="575">
        <v>0.8</v>
      </c>
      <c r="AR21" s="594">
        <f t="shared" si="3"/>
        <v>4.3109145624374998E-2</v>
      </c>
      <c r="AS21" s="594">
        <f t="shared" si="4"/>
        <v>3.8510836757775002E-2</v>
      </c>
      <c r="AT21" s="568">
        <f>IF(P21="energia el.",(IF(O21&gt;=50,AD21,W21)+AP21*Z!$J$46),(IF(O21&gt;=50,AD21,W21)+AP21*Z!$J$46))</f>
        <v>19.2074780481285</v>
      </c>
      <c r="AU21" s="568">
        <f t="shared" si="5"/>
        <v>5.1730974749249999E-5</v>
      </c>
      <c r="AV21" s="568">
        <f t="shared" si="6"/>
        <v>0.17243658249749999</v>
      </c>
      <c r="AW21" s="568">
        <f t="shared" si="7"/>
        <v>3.0272200038449999E-2</v>
      </c>
      <c r="AX21" s="568">
        <f t="shared" si="8"/>
        <v>0.38541927245753238</v>
      </c>
      <c r="AY21" s="88" t="s">
        <v>88</v>
      </c>
      <c r="AZ21" s="567"/>
      <c r="BA21" s="564"/>
      <c r="BB21" s="567"/>
      <c r="BC21" s="567"/>
      <c r="BD21" s="567"/>
      <c r="BE21" s="567"/>
      <c r="BF21" s="567"/>
      <c r="BG21" s="567"/>
      <c r="BH21" s="567"/>
      <c r="BI21" s="308">
        <f t="shared" si="9"/>
        <v>191.59620277499999</v>
      </c>
      <c r="BJ21" s="308" t="b">
        <f t="shared" si="10"/>
        <v>0</v>
      </c>
      <c r="BK21" s="319">
        <f t="shared" si="11"/>
        <v>731</v>
      </c>
      <c r="BL21" s="319" t="b">
        <f t="shared" si="12"/>
        <v>0</v>
      </c>
      <c r="BM21" s="319" t="b">
        <f t="shared" si="13"/>
        <v>0</v>
      </c>
      <c r="BN21" s="319" t="b">
        <f t="shared" si="14"/>
        <v>0</v>
      </c>
      <c r="BO21" s="319" t="b">
        <f t="shared" si="15"/>
        <v>0</v>
      </c>
      <c r="BP21" s="319" t="b">
        <f t="shared" si="16"/>
        <v>0</v>
      </c>
      <c r="BQ21" s="319" t="b">
        <f t="shared" si="17"/>
        <v>0</v>
      </c>
      <c r="BR21" s="319" t="b">
        <f t="shared" si="18"/>
        <v>0</v>
      </c>
      <c r="BS21" s="319" t="b">
        <f t="shared" si="19"/>
        <v>0</v>
      </c>
      <c r="BT21" s="319" t="b">
        <f t="shared" si="20"/>
        <v>0</v>
      </c>
      <c r="BU21" s="319">
        <f t="shared" si="21"/>
        <v>191.59620277499999</v>
      </c>
      <c r="BV21" s="319" t="b">
        <f t="shared" si="22"/>
        <v>0</v>
      </c>
      <c r="BW21" s="319" t="b">
        <f t="shared" si="23"/>
        <v>0</v>
      </c>
      <c r="BX21" s="319" t="b">
        <f t="shared" si="24"/>
        <v>0</v>
      </c>
      <c r="BY21" s="319" t="b">
        <f t="shared" si="25"/>
        <v>0</v>
      </c>
      <c r="BZ21" s="319" t="b">
        <f t="shared" si="26"/>
        <v>0</v>
      </c>
      <c r="CA21" s="319" t="b">
        <f t="shared" si="27"/>
        <v>0</v>
      </c>
      <c r="CB21" s="319" t="b">
        <f t="shared" si="28"/>
        <v>0</v>
      </c>
      <c r="CC21" s="319" t="b">
        <f t="shared" si="29"/>
        <v>0</v>
      </c>
      <c r="CD21" s="319" t="b">
        <f t="shared" si="30"/>
        <v>0</v>
      </c>
      <c r="CE21" s="319" t="b">
        <f t="shared" si="31"/>
        <v>0</v>
      </c>
      <c r="CF21" s="319" t="b">
        <f t="shared" si="32"/>
        <v>0</v>
      </c>
    </row>
    <row r="22" spans="1:84" ht="23.25" customHeight="1">
      <c r="A22" s="870">
        <v>15</v>
      </c>
      <c r="B22" s="566">
        <f>SUM($C$5:C22)</f>
        <v>15</v>
      </c>
      <c r="C22" s="503">
        <f t="shared" ref="C22" si="134">IF(ISTEXT(D22),1)</f>
        <v>1</v>
      </c>
      <c r="D22" s="867" t="s">
        <v>590</v>
      </c>
      <c r="E22" s="867" t="s">
        <v>591</v>
      </c>
      <c r="F22" s="868">
        <v>1963</v>
      </c>
      <c r="G22" s="863">
        <v>656.6</v>
      </c>
      <c r="H22" s="88">
        <v>7</v>
      </c>
      <c r="I22" s="88"/>
      <c r="J22" s="88">
        <f>IF(F22&lt;=1966,'Założenia,wskaźniki, listy'!$H$4,IF(F22&gt;1966,IF(F22&lt;=1985,'Założenia,wskaźniki, listy'!$H$5,IF(F22&gt;1985,IF(F22&lt;=1992,'Założenia,wskaźniki, listy'!$H$6,IF(F22&gt;1992,IF(F22&lt;=1996,'Założenia,wskaźniki, listy'!$H$7,IF(F22&gt;1996,IF(F22&lt;=2013,'Założenia,wskaźniki, listy'!$H$8)))))))))</f>
        <v>290</v>
      </c>
      <c r="K22" s="864" t="s">
        <v>33</v>
      </c>
      <c r="L22" s="88" t="s">
        <v>8</v>
      </c>
      <c r="M22" s="88"/>
      <c r="N22" s="567"/>
      <c r="O22" s="567"/>
      <c r="P22" s="88"/>
      <c r="Q22" s="480">
        <f t="shared" si="2"/>
        <v>551.21052971250003</v>
      </c>
      <c r="R22" s="249">
        <f>IF(K22="kompletna",J22*G22*0.0036*'Założenia,wskaźniki, listy'!$C$15,IF(K22="częściowa",J22*G22*0.0036*'Założenia,wskaźniki, listy'!$C$16,IF(K22="brak",J22*G22*0.0036*'Założenia,wskaźniki, listy'!$C$17,0)))</f>
        <v>548.39232000000004</v>
      </c>
      <c r="S22" s="249">
        <f>H22*'Założenia,wskaźniki, listy'!$L$16</f>
        <v>2.8182097125000003</v>
      </c>
      <c r="T22" s="249">
        <f>R22+S22</f>
        <v>551.21052971250003</v>
      </c>
      <c r="U22" s="568">
        <f>IF(L22="węgiel",T22*'Założenia,wskaźniki, listy'!$C$44,IF(L22="gaz",T22*'Założenia,wskaźniki, listy'!$D$44,IF(L22="drewno",T22*'Założenia,wskaźniki, listy'!$E$44,IF(L22="pelet",T22*'Założenia,wskaźniki, listy'!$F$44,IF(L22="olej opałowy",T22*'Założenia,wskaźniki, listy'!$G$44,IF(L22="sieć ciepłownicza",0,IF(L22="prąd",0,0)))))))</f>
        <v>0.12402236918531251</v>
      </c>
      <c r="V22" s="568">
        <f>IF(L22="węgiel",T22*'Założenia,wskaźniki, listy'!$C$45,IF(L22="gaz",T22*'Założenia,wskaźniki, listy'!$D$45,IF(L22="drewno",T22*'Założenia,wskaźniki, listy'!$E$45,IF(L22="pelet",T22*'Założenia,wskaźniki, listy'!$F$45,IF(L22="olej opałowy",T22*'Założenia,wskaźniki, listy'!$G$45,IF(L22="sieć ciepłownicza",0,IF(L22="prąd",0,0)))))))</f>
        <v>0.11079331647221251</v>
      </c>
      <c r="W22" s="568">
        <f>IF(L22="węgiel",T22*'Założenia,wskaźniki, listy'!$C$46,IF(L22="gaz",T22*'Założenia,wskaźniki, listy'!$D$46,IF(L22="drewno",T22*'Założenia,wskaźniki, listy'!$E$46,IF(L22="pelet",T22*'Założenia,wskaźniki, listy'!$F$46,IF(L22="olej opałowy",T22*'Założenia,wskaźniki, listy'!$G$46,IF(L22="sieć ciepłownicza",0,IF(L22="prąd",0,0)))))))</f>
        <v>51.670475055249746</v>
      </c>
      <c r="X22" s="568">
        <f>IF(L22="węgiel",T22*'Założenia,wskaźniki, listy'!$C$47,IF(L22="gaz",T22*'Założenia,wskaźniki, listy'!$D$47,IF(L22="drewno",T22*'Założenia,wskaźniki, listy'!$E$47,IF(L22="pelet",T22*'Założenia,wskaźniki, listy'!$F$47,IF(L22="olej opałowy",T22*'Założenia,wskaźniki, listy'!$G$47,IF(L22="sieć ciepłownicza",0,IF(L22="prąd",0,0)))))))</f>
        <v>1.4882684302237501E-4</v>
      </c>
      <c r="Y22" s="568">
        <f>IF(L22="węgiel",T22*'Założenia,wskaźniki, listy'!$C$48,IF(L22="gaz",T22*'Założenia,wskaźniki, listy'!$D$48,IF(L22="drewno",T22*'Założenia,wskaźniki, listy'!$E$48,IF(L22="pelet",T22*'Założenia,wskaźniki, listy'!$F$48,IF(L22="olej opałowy",T22*'Założenia,wskaźniki, listy'!$G$48,IF(L22="sieć ciepłownicza",0,IF(L22="prąd",0,0)))))))</f>
        <v>0.49608947674125004</v>
      </c>
      <c r="Z22" s="568">
        <f>IF(L22="węgiel",T22*'Założenia,wskaźniki, listy'!$C$49,IF(L22="gaz",T22*'Założenia,wskaźniki, listy'!$D$49,IF(L22="drewno",T22*'Założenia,wskaźniki, listy'!$E$49,IF(L22="pelet",T22*'Założenia,wskaźniki, listy'!$F$49,IF(L22="olej opałowy",T22*'Założenia,wskaźniki, listy'!$G$49,IF(L22="sieć ciepłownicza",0,IF(L22="prąd",0,0)))))))</f>
        <v>8.7091263694574997E-2</v>
      </c>
      <c r="AA22" s="568">
        <f>IF(L22="węgiel",T22*'Założenia,wskaźniki, listy'!$C$50,IF(L22="gaz",T22*'Założenia,wskaźniki, listy'!$D$50,IF(L22="drewno",T22*'Założenia,wskaźniki, listy'!$E$50,IF(L22="pelet",T22*'Założenia,wskaźniki, listy'!$F$50,IF(L22="olej opałowy",T22*'Założenia,wskaźniki, listy'!$G$50,IF(L22="sieć ciepłownicza",0,IF(L22="prąd",0,0)))))))</f>
        <v>1.1088276190014528</v>
      </c>
      <c r="AB22" s="568">
        <f>IF(L22="węgiel",T22*Z!$C$44,IF(L22="gaz",T22*Z!$D$44,IF(L22="drewno",T22*Z!$E$44,IF(L22="pelet",T22*Z!$F$44,IF(L22="olej opałowy",T22*Z!$G$44,IF(L22="sieć ciepłownicza",0,IF(L22="prąd",0,0)))))))</f>
        <v>0.10473000064537501</v>
      </c>
      <c r="AC22" s="568">
        <f>IF(L22="węgiel",T22*Z!$C$45,IF(L22="gaz",T22*Z!$D$45,IF(L22="drewno",T22*Z!$E$45,IF(L22="pelet",T22*Z!$F$45,IF(L22="olej opałowy",T22*Z!$G$45,IF(L22="sieć ciepłownicza",0,IF(L22="prąd",0,0)))))))</f>
        <v>9.3705790051125018E-2</v>
      </c>
      <c r="AD22" s="568">
        <f>IF(L22="węgiel",T22*Z!$C$46,IF(L22="gaz",T22*Z!$D$46,IF(L22="drewno",T22*Z!$E$46,IF(L22="pelet",T22*Z!$F$46,IF(L22="olej opałowy",T22*Z!$G$46,IF(L22="sieć ciepłownicza",0,IF(L22="prąd",0,0)))))))</f>
        <v>51.670475055249746</v>
      </c>
      <c r="AE22" s="568">
        <f>IF(L22="węgiel",T22*Z!$C$47,IF(L22="gaz",T22*Z!$D$47,IF(L22="drewno",T22*Z!$E$47,IF(L22="pelet",T22*Z!$F$47,IF(L22="olej opałowy",T22*Z!$G$47,IF(L22="sieć ciepłownicza",0,IF(L22="prąd",0,0)))))))</f>
        <v>5.5121052971250002E-5</v>
      </c>
      <c r="AF22" s="568">
        <f>IF(L22="węgiel",T22*Z!$C$48,IF(L22="gaz",T22*Z!$D$48,IF(L22="drewno",T22*Z!$E$48,IF(L22="pelet",T22*Z!$F$48,IF(L22="olej opałowy",T22*Z!$G$48,IF(L22="sieć ciepłownicza",0,IF(L22="prąd",0,0)))))))</f>
        <v>0.49608947674125004</v>
      </c>
      <c r="AG22" s="568">
        <f>IF(L22="węgiel",T22*Z!$C$49,IF(L22="gaz",T22*Z!$D$49,IF(L22="drewno",T22*Z!$E$49,IF(L22="pelet",T22*Z!$F$49,IF(L22="olej opałowy",T22*Z!$G$49,IF(L22="sieć ciepłownicza",0,IF(L22="prąd",0,0)))))))</f>
        <v>8.819368475400001E-2</v>
      </c>
      <c r="AH22" s="568">
        <f>IF(L22="węgiel",T22*Z!$C$50,IF(L22="gaz",T22*Z!$D$50,IF(L22="drewno",T22*Z!$E$50,IF(L22="pelet",T22*Z!$F$50,IF(L22="olej opałowy",T22*Z!$G$50,IF(L22="sieć ciepłownicza",0,IF(L22="prąd",0,0)))))))</f>
        <v>1.1088276190014528</v>
      </c>
      <c r="AI22" s="568">
        <f>IF(P22="węgiel",S22*'Założenia,wskaźniki, listy'!$C$44,IF(P22="gaz",S22*'Założenia,wskaźniki, listy'!$D$44,IF(P22="drewno",S22*'Założenia,wskaźniki, listy'!$E$44,IF(P22="pelet",S22*'Założenia,wskaźniki, listy'!$F$44,IF(P22="olej opałowy",S22*'Założenia,wskaźniki, listy'!$G$44,IF(P22="sieć ciepłownicza",0,IF(P22="prąd",0,0)))))))</f>
        <v>0</v>
      </c>
      <c r="AJ22" s="568">
        <f>IF(Q22="węgiel",T22*'Założenia,wskaźniki, listy'!$C$45,IF(Q22="gaz",T22*'Założenia,wskaźniki, listy'!$D$45,IF(Q22="drewno",T22*'Założenia,wskaźniki, listy'!$E$45,IF(Q22="pelet",T22*'Założenia,wskaźniki, listy'!$F$45,IF(Q22="olej opałowy",T22*'Założenia,wskaźniki, listy'!$G$45,IF(Q22="sieć ciepłownicza",0,IF(Q22="prąd",0,0)))))))</f>
        <v>0</v>
      </c>
      <c r="AK22" s="568">
        <f>IF(Q22="węgiel",T22*'Założenia,wskaźniki, listy'!$C$46,IF(Q22="gaz",T22*'Założenia,wskaźniki, listy'!$D$46,IF(Q22="drewno",T22*'Założenia,wskaźniki, listy'!$E$46,IF(Q22="pelet",T22*'Założenia,wskaźniki, listy'!$F$46,IF(Q22="olej opałowy",T22*'Założenia,wskaźniki, listy'!$G$46,IF(Q22="sieć ciepłownicza",0,IF(Q22="prąd",0,0)))))))</f>
        <v>0</v>
      </c>
      <c r="AL22" s="568">
        <f>IF(Q22="węgiel",T22*'Założenia,wskaźniki, listy'!$C$47,IF(Q22="gaz",T22*'Założenia,wskaźniki, listy'!$D$47,IF(Q22="drewno",T22*'Założenia,wskaźniki, listy'!$E$47,IF(Q22="pelet",T22*'Założenia,wskaźniki, listy'!$F$47,IF(Q22="olej opałowy",T22*'Założenia,wskaźniki, listy'!$G$47,IF(Q22="sieć ciepłownicza",0,IF(Q22="prąd",0,0)))))))</f>
        <v>0</v>
      </c>
      <c r="AM22" s="568">
        <f>IF(Q22="węgiel",T22*'Założenia,wskaźniki, listy'!$C$48,IF(Q22="gaz",T22*'Założenia,wskaźniki, listy'!$D$48,IF(Q22="drewno",T22*'Założenia,wskaźniki, listy'!$E$48,IF(Q22="pelet",T22*'Założenia,wskaźniki, listy'!$F$48,IF(Q22="olej opałowy",T22*'Założenia,wskaźniki, listy'!$G$48,IF(Q22="sieć ciepłownicza",0,IF(Q22="prąd",0,0)))))))</f>
        <v>0</v>
      </c>
      <c r="AN22" s="568">
        <f>IF(Q22="węgiel",T22*'Założenia,wskaźniki, listy'!$C$49,IF(Q22="gaz",T22*'Założenia,wskaźniki, listy'!$D$49,IF(Q22="drewno",T22*'Założenia,wskaźniki, listy'!$E$49,IF(Q22="pelet",T22*'Założenia,wskaźniki, listy'!$F$49,IF(Q22="olej opałowy",T22*'Założenia,wskaźniki, listy'!$G$49,IF(Q22="sieć ciepłownicza",0,IF(Q22="prąd",0,0)))))))</f>
        <v>0</v>
      </c>
      <c r="AO22" s="568">
        <f>IF(Q22="węgiel",T22*'Założenia,wskaźniki, listy'!$C$50,IF(Q22="gaz",T22*'Założenia,wskaźniki, listy'!$D$50,IF(Q22="drewno",T22*'Założenia,wskaźniki, listy'!$E$50,IF(Q22="pelet",T22*'Założenia,wskaźniki, listy'!$F$50,IF(Q22="olej opałowy",T22*'Założenia,wskaźniki, listy'!$G$50,IF(Q22="sieć ciepłownicza",0,IF(Q22="prąd",0,0)))))))</f>
        <v>0</v>
      </c>
      <c r="AP22" s="568">
        <v>6.5</v>
      </c>
      <c r="AQ22" s="575">
        <v>3</v>
      </c>
      <c r="AR22" s="594">
        <f t="shared" si="3"/>
        <v>0.12402236918531251</v>
      </c>
      <c r="AS22" s="594">
        <f t="shared" si="4"/>
        <v>0.11079331647221251</v>
      </c>
      <c r="AT22" s="568">
        <f>IF(P22="energia el.",(IF(O22&gt;=50,AD22,W22)+AP22*Z!$J$46),(IF(O22&gt;=50,AD22,W22)+AP22*Z!$J$46))</f>
        <v>57.075225055249746</v>
      </c>
      <c r="AU22" s="568">
        <f t="shared" si="5"/>
        <v>1.4882684302237501E-4</v>
      </c>
      <c r="AV22" s="568">
        <f t="shared" si="6"/>
        <v>0.49608947674125004</v>
      </c>
      <c r="AW22" s="568">
        <f t="shared" si="7"/>
        <v>8.7091263694574997E-2</v>
      </c>
      <c r="AX22" s="568">
        <f t="shared" si="8"/>
        <v>1.1088276190014528</v>
      </c>
      <c r="AY22" s="88"/>
      <c r="AZ22" s="567"/>
      <c r="BA22" s="564"/>
      <c r="BB22" s="567"/>
      <c r="BC22" s="567"/>
      <c r="BD22" s="567"/>
      <c r="BE22" s="567"/>
      <c r="BF22" s="567"/>
      <c r="BG22" s="567"/>
      <c r="BH22" s="567"/>
      <c r="BI22" s="308">
        <f t="shared" si="9"/>
        <v>551.21052971250003</v>
      </c>
      <c r="BJ22" s="308" t="b">
        <f t="shared" si="10"/>
        <v>0</v>
      </c>
      <c r="BK22" s="319">
        <f t="shared" si="11"/>
        <v>656.6</v>
      </c>
      <c r="BL22" s="319">
        <f t="shared" si="12"/>
        <v>328.3</v>
      </c>
      <c r="BM22" s="319" t="b">
        <f t="shared" si="13"/>
        <v>0</v>
      </c>
      <c r="BN22" s="319">
        <f t="shared" si="14"/>
        <v>0</v>
      </c>
      <c r="BO22" s="319" t="b">
        <f t="shared" si="15"/>
        <v>0</v>
      </c>
      <c r="BP22" s="319">
        <f t="shared" si="16"/>
        <v>0</v>
      </c>
      <c r="BQ22" s="319" t="b">
        <f t="shared" si="17"/>
        <v>0</v>
      </c>
      <c r="BR22" s="319">
        <f t="shared" si="18"/>
        <v>0</v>
      </c>
      <c r="BS22" s="319" t="b">
        <f t="shared" si="19"/>
        <v>0</v>
      </c>
      <c r="BT22" s="319">
        <f t="shared" si="20"/>
        <v>0</v>
      </c>
      <c r="BU22" s="319">
        <f t="shared" si="21"/>
        <v>551.21052971250003</v>
      </c>
      <c r="BV22" s="319" t="b">
        <f t="shared" si="22"/>
        <v>0</v>
      </c>
      <c r="BW22" s="319" t="b">
        <f t="shared" si="23"/>
        <v>0</v>
      </c>
      <c r="BX22" s="319" t="b">
        <f t="shared" si="24"/>
        <v>0</v>
      </c>
      <c r="BY22" s="319" t="b">
        <f t="shared" si="25"/>
        <v>0</v>
      </c>
      <c r="BZ22" s="319" t="b">
        <f t="shared" si="26"/>
        <v>0</v>
      </c>
      <c r="CA22" s="319" t="b">
        <f t="shared" si="27"/>
        <v>0</v>
      </c>
      <c r="CB22" s="319" t="b">
        <f t="shared" si="28"/>
        <v>0</v>
      </c>
      <c r="CC22" s="319" t="b">
        <f t="shared" si="29"/>
        <v>0</v>
      </c>
      <c r="CD22" s="319" t="b">
        <f t="shared" si="30"/>
        <v>0</v>
      </c>
      <c r="CE22" s="319" t="b">
        <f t="shared" si="31"/>
        <v>0</v>
      </c>
      <c r="CF22" s="319" t="b">
        <f t="shared" si="32"/>
        <v>0</v>
      </c>
    </row>
    <row r="23" spans="1:84" ht="8.25" customHeight="1">
      <c r="A23" s="531">
        <v>16</v>
      </c>
      <c r="B23" s="566">
        <f>SUM($C$5:C23)</f>
        <v>16</v>
      </c>
      <c r="C23" s="503">
        <f t="shared" si="133"/>
        <v>1</v>
      </c>
      <c r="D23" s="867" t="s">
        <v>603</v>
      </c>
      <c r="E23" s="862" t="s">
        <v>592</v>
      </c>
      <c r="F23" s="866"/>
      <c r="G23" s="863">
        <v>623</v>
      </c>
      <c r="H23" s="88">
        <v>64</v>
      </c>
      <c r="I23" s="88"/>
      <c r="J23" s="88">
        <f>IF(F23&lt;=1966,'Założenia,wskaźniki, listy'!$H$4,IF(F23&gt;1966,IF(F23&lt;=1985,'Założenia,wskaźniki, listy'!$H$5,IF(F23&gt;1985,IF(F23&lt;=1992,'Założenia,wskaźniki, listy'!$H$6,IF(F23&gt;1992,IF(F23&lt;=1996,'Założenia,wskaźniki, listy'!$H$7,IF(F23&gt;1996,IF(F23&lt;=2013,'Założenia,wskaźniki, listy'!$H$8)))))))))</f>
        <v>290</v>
      </c>
      <c r="K23" s="864" t="s">
        <v>33</v>
      </c>
      <c r="L23" s="88" t="s">
        <v>8</v>
      </c>
      <c r="M23" s="88"/>
      <c r="N23" s="567"/>
      <c r="O23" s="567"/>
      <c r="P23" s="88"/>
      <c r="Q23" s="480">
        <f t="shared" si="2"/>
        <v>546.09608880000008</v>
      </c>
      <c r="R23" s="249">
        <f>IF(K23="kompletna",J23*G23*0.0036*'Założenia,wskaźniki, listy'!$C$15,IF(K23="częściowa",J23*G23*0.0036*'Założenia,wskaźniki, listy'!$C$16,IF(K23="brak",J23*G23*0.0036*'Założenia,wskaźniki, listy'!$C$17,0)))</f>
        <v>520.32960000000003</v>
      </c>
      <c r="S23" s="249">
        <f>H23*'Założenia,wskaźniki, listy'!$L$16</f>
        <v>25.766488800000001</v>
      </c>
      <c r="T23" s="249">
        <f>R23+S23</f>
        <v>546.09608880000008</v>
      </c>
      <c r="U23" s="568">
        <f>IF(L23="węgiel",T23*'Założenia,wskaźniki, listy'!$C$44,IF(L23="gaz",T23*'Założenia,wskaźniki, listy'!$D$44,IF(L23="drewno",T23*'Założenia,wskaźniki, listy'!$E$44,IF(L23="pelet",T23*'Założenia,wskaźniki, listy'!$F$44,IF(L23="olej opałowy",T23*'Założenia,wskaźniki, listy'!$G$44,IF(L23="sieć ciepłownicza",0,IF(L23="prąd",0,0)))))))</f>
        <v>0.12287161998000001</v>
      </c>
      <c r="V23" s="568">
        <f>IF(L23="węgiel",T23*'Założenia,wskaźniki, listy'!$C$45,IF(L23="gaz",T23*'Założenia,wskaźniki, listy'!$D$45,IF(L23="drewno",T23*'Założenia,wskaźniki, listy'!$E$45,IF(L23="pelet",T23*'Założenia,wskaźniki, listy'!$F$45,IF(L23="olej opałowy",T23*'Założenia,wskaźniki, listy'!$G$45,IF(L23="sieć ciepłownicza",0,IF(L23="prąd",0,0)))))))</f>
        <v>0.10976531384880002</v>
      </c>
      <c r="W23" s="568">
        <f>IF(L23="węgiel",T23*'Założenia,wskaźniki, listy'!$C$46,IF(L23="gaz",T23*'Założenia,wskaźniki, listy'!$D$46,IF(L23="drewno",T23*'Założenia,wskaźniki, listy'!$E$46,IF(L23="pelet",T23*'Założenia,wskaźniki, listy'!$F$46,IF(L23="olej opałowy",T23*'Założenia,wskaźniki, listy'!$G$46,IF(L23="sieć ciepłownicza",0,IF(L23="prąd",0,0)))))))</f>
        <v>51.191047364112002</v>
      </c>
      <c r="X23" s="568">
        <f>IF(L23="węgiel",T23*'Założenia,wskaźniki, listy'!$C$47,IF(L23="gaz",T23*'Założenia,wskaźniki, listy'!$D$47,IF(L23="drewno",T23*'Założenia,wskaźniki, listy'!$E$47,IF(L23="pelet",T23*'Założenia,wskaźniki, listy'!$F$47,IF(L23="olej opałowy",T23*'Założenia,wskaźniki, listy'!$G$47,IF(L23="sieć ciepłownicza",0,IF(L23="prąd",0,0)))))))</f>
        <v>1.4744594397600002E-4</v>
      </c>
      <c r="Y23" s="568">
        <f>IF(L23="węgiel",T23*'Założenia,wskaźniki, listy'!$C$48,IF(L23="gaz",T23*'Założenia,wskaźniki, listy'!$D$48,IF(L23="drewno",T23*'Założenia,wskaźniki, listy'!$E$48,IF(L23="pelet",T23*'Założenia,wskaźniki, listy'!$F$48,IF(L23="olej opałowy",T23*'Założenia,wskaźniki, listy'!$G$48,IF(L23="sieć ciepłownicza",0,IF(L23="prąd",0,0)))))))</f>
        <v>0.49148647992000005</v>
      </c>
      <c r="Z23" s="568">
        <f>IF(L23="węgiel",T23*'Założenia,wskaźniki, listy'!$C$49,IF(L23="gaz",T23*'Założenia,wskaźniki, listy'!$D$49,IF(L23="drewno",T23*'Założenia,wskaźniki, listy'!$E$49,IF(L23="pelet",T23*'Założenia,wskaźniki, listy'!$F$49,IF(L23="olej opałowy",T23*'Założenia,wskaźniki, listy'!$G$49,IF(L23="sieć ciepłownicza",0,IF(L23="prąd",0,0)))))))</f>
        <v>8.6283182030400002E-2</v>
      </c>
      <c r="AA23" s="568">
        <f>IF(L23="węgiel",T23*'Założenia,wskaźniki, listy'!$C$50,IF(L23="gaz",T23*'Założenia,wskaźniki, listy'!$D$50,IF(L23="drewno",T23*'Założenia,wskaźniki, listy'!$E$50,IF(L23="pelet",T23*'Założenia,wskaźniki, listy'!$F$50,IF(L23="olej opałowy",T23*'Założenia,wskaźniki, listy'!$G$50,IF(L23="sieć ciepłownicza",0,IF(L23="prąd",0,0)))))))</f>
        <v>1.0985392935181046</v>
      </c>
      <c r="AB23" s="568">
        <f>IF(L23="węgiel",T23*Z!$C$44,IF(L23="gaz",T23*Z!$D$44,IF(L23="drewno",T23*Z!$E$44,IF(L23="pelet",T23*Z!$F$44,IF(L23="olej opałowy",T23*Z!$G$44,IF(L23="sieć ciepłownicza",0,IF(L23="prąd",0,0)))))))</f>
        <v>0.10375825687200002</v>
      </c>
      <c r="AC23" s="568">
        <f>IF(L23="węgiel",T23*Z!$C$45,IF(L23="gaz",T23*Z!$D$45,IF(L23="drewno",T23*Z!$E$45,IF(L23="pelet",T23*Z!$F$45,IF(L23="olej opałowy",T23*Z!$G$45,IF(L23="sieć ciepłownicza",0,IF(L23="prąd",0,0)))))))</f>
        <v>9.2836335096000019E-2</v>
      </c>
      <c r="AD23" s="568">
        <f>IF(L23="węgiel",T23*Z!$C$46,IF(L23="gaz",T23*Z!$D$46,IF(L23="drewno",T23*Z!$E$46,IF(L23="pelet",T23*Z!$F$46,IF(L23="olej opałowy",T23*Z!$G$46,IF(L23="sieć ciepłownicza",0,IF(L23="prąd",0,0)))))))</f>
        <v>51.191047364112002</v>
      </c>
      <c r="AE23" s="568">
        <f>IF(L23="węgiel",T23*Z!$C$47,IF(L23="gaz",T23*Z!$D$47,IF(L23="drewno",T23*Z!$E$47,IF(L23="pelet",T23*Z!$F$47,IF(L23="olej opałowy",T23*Z!$G$47,IF(L23="sieć ciepłownicza",0,IF(L23="prąd",0,0)))))))</f>
        <v>5.4609608880000007E-5</v>
      </c>
      <c r="AF23" s="568">
        <f>IF(L23="węgiel",T23*Z!$C$48,IF(L23="gaz",T23*Z!$D$48,IF(L23="drewno",T23*Z!$E$48,IF(L23="pelet",T23*Z!$F$48,IF(L23="olej opałowy",T23*Z!$G$48,IF(L23="sieć ciepłownicza",0,IF(L23="prąd",0,0)))))))</f>
        <v>0.49148647992000005</v>
      </c>
      <c r="AG23" s="568">
        <f>IF(L23="węgiel",T23*Z!$C$49,IF(L23="gaz",T23*Z!$D$49,IF(L23="drewno",T23*Z!$E$49,IF(L23="pelet",T23*Z!$F$49,IF(L23="olej opałowy",T23*Z!$G$49,IF(L23="sieć ciepłownicza",0,IF(L23="prąd",0,0)))))))</f>
        <v>8.7375374208000026E-2</v>
      </c>
      <c r="AH23" s="568">
        <f>IF(L23="węgiel",T23*Z!$C$50,IF(L23="gaz",T23*Z!$D$50,IF(L23="drewno",T23*Z!$E$50,IF(L23="pelet",T23*Z!$F$50,IF(L23="olej opałowy",T23*Z!$G$50,IF(L23="sieć ciepłownicza",0,IF(L23="prąd",0,0)))))))</f>
        <v>1.0985392935181046</v>
      </c>
      <c r="AI23" s="568">
        <f>IF(P23="węgiel",S23*'Założenia,wskaźniki, listy'!$C$44,IF(P23="gaz",S23*'Założenia,wskaźniki, listy'!$D$44,IF(P23="drewno",S23*'Założenia,wskaźniki, listy'!$E$44,IF(P23="pelet",S23*'Założenia,wskaźniki, listy'!$F$44,IF(P23="olej opałowy",S23*'Założenia,wskaźniki, listy'!$G$44,IF(P23="sieć ciepłownicza",0,IF(P23="prąd",0,0)))))))</f>
        <v>0</v>
      </c>
      <c r="AJ23" s="568">
        <f>IF(Q23="węgiel",T23*'Założenia,wskaźniki, listy'!$C$45,IF(Q23="gaz",T23*'Założenia,wskaźniki, listy'!$D$45,IF(Q23="drewno",T23*'Założenia,wskaźniki, listy'!$E$45,IF(Q23="pelet",T23*'Założenia,wskaźniki, listy'!$F$45,IF(Q23="olej opałowy",T23*'Założenia,wskaźniki, listy'!$G$45,IF(Q23="sieć ciepłownicza",0,IF(Q23="prąd",0,0)))))))</f>
        <v>0</v>
      </c>
      <c r="AK23" s="568">
        <f>IF(Q23="węgiel",T23*'Założenia,wskaźniki, listy'!$C$46,IF(Q23="gaz",T23*'Założenia,wskaźniki, listy'!$D$46,IF(Q23="drewno",T23*'Założenia,wskaźniki, listy'!$E$46,IF(Q23="pelet",T23*'Założenia,wskaźniki, listy'!$F$46,IF(Q23="olej opałowy",T23*'Założenia,wskaźniki, listy'!$G$46,IF(Q23="sieć ciepłownicza",0,IF(Q23="prąd",0,0)))))))</f>
        <v>0</v>
      </c>
      <c r="AL23" s="568">
        <f>IF(Q23="węgiel",T23*'Założenia,wskaźniki, listy'!$C$47,IF(Q23="gaz",T23*'Założenia,wskaźniki, listy'!$D$47,IF(Q23="drewno",T23*'Założenia,wskaźniki, listy'!$E$47,IF(Q23="pelet",T23*'Założenia,wskaźniki, listy'!$F$47,IF(Q23="olej opałowy",T23*'Założenia,wskaźniki, listy'!$G$47,IF(Q23="sieć ciepłownicza",0,IF(Q23="prąd",0,0)))))))</f>
        <v>0</v>
      </c>
      <c r="AM23" s="568">
        <f>IF(Q23="węgiel",T23*'Założenia,wskaźniki, listy'!$C$48,IF(Q23="gaz",T23*'Założenia,wskaźniki, listy'!$D$48,IF(Q23="drewno",T23*'Założenia,wskaźniki, listy'!$E$48,IF(Q23="pelet",T23*'Założenia,wskaźniki, listy'!$F$48,IF(Q23="olej opałowy",T23*'Założenia,wskaźniki, listy'!$G$48,IF(Q23="sieć ciepłownicza",0,IF(Q23="prąd",0,0)))))))</f>
        <v>0</v>
      </c>
      <c r="AN23" s="568">
        <f>IF(Q23="węgiel",T23*'Założenia,wskaźniki, listy'!$C$49,IF(Q23="gaz",T23*'Założenia,wskaźniki, listy'!$D$49,IF(Q23="drewno",T23*'Założenia,wskaźniki, listy'!$E$49,IF(Q23="pelet",T23*'Założenia,wskaźniki, listy'!$F$49,IF(Q23="olej opałowy",T23*'Założenia,wskaźniki, listy'!$G$49,IF(Q23="sieć ciepłownicza",0,IF(Q23="prąd",0,0)))))))</f>
        <v>0</v>
      </c>
      <c r="AO23" s="568">
        <f>IF(Q23="węgiel",T23*'Założenia,wskaźniki, listy'!$C$50,IF(Q23="gaz",T23*'Założenia,wskaźniki, listy'!$D$50,IF(Q23="drewno",T23*'Założenia,wskaźniki, listy'!$E$50,IF(Q23="pelet",T23*'Założenia,wskaźniki, listy'!$F$50,IF(Q23="olej opałowy",T23*'Założenia,wskaźniki, listy'!$G$50,IF(Q23="sieć ciepłownicza",0,IF(Q23="prąd",0,0)))))))</f>
        <v>0</v>
      </c>
      <c r="AP23" s="568">
        <v>7</v>
      </c>
      <c r="AQ23" s="575">
        <v>3.5</v>
      </c>
      <c r="AR23" s="594">
        <f t="shared" si="3"/>
        <v>0.12287161998000001</v>
      </c>
      <c r="AS23" s="594">
        <f t="shared" si="4"/>
        <v>0.10976531384880002</v>
      </c>
      <c r="AT23" s="568">
        <f>IF(P23="energia el.",(IF(O23&gt;=50,AD23,W23)+AP23*Z!$J$46),(IF(O23&gt;=50,AD23,W23)+AP23*Z!$J$46))</f>
        <v>57.011547364112005</v>
      </c>
      <c r="AU23" s="568">
        <f t="shared" si="5"/>
        <v>1.4744594397600002E-4</v>
      </c>
      <c r="AV23" s="568">
        <f t="shared" si="6"/>
        <v>0.49148647992000005</v>
      </c>
      <c r="AW23" s="568">
        <f t="shared" si="7"/>
        <v>8.6283182030400002E-2</v>
      </c>
      <c r="AX23" s="568">
        <f t="shared" si="8"/>
        <v>1.0985392935181046</v>
      </c>
      <c r="AY23" s="88"/>
      <c r="AZ23" s="567"/>
      <c r="BA23" s="564"/>
      <c r="BB23" s="567"/>
      <c r="BC23" s="567"/>
      <c r="BD23" s="567"/>
      <c r="BE23" s="567"/>
      <c r="BF23" s="567"/>
      <c r="BG23" s="567"/>
      <c r="BH23" s="567"/>
      <c r="BI23" s="308">
        <f t="shared" si="9"/>
        <v>546.09608880000008</v>
      </c>
      <c r="BJ23" s="308" t="b">
        <f t="shared" si="10"/>
        <v>0</v>
      </c>
      <c r="BK23" s="319">
        <f t="shared" si="11"/>
        <v>623</v>
      </c>
      <c r="BL23" s="319">
        <f t="shared" si="12"/>
        <v>311.5</v>
      </c>
      <c r="BM23" s="319" t="b">
        <f t="shared" si="13"/>
        <v>0</v>
      </c>
      <c r="BN23" s="319">
        <f t="shared" si="14"/>
        <v>0</v>
      </c>
      <c r="BO23" s="319" t="b">
        <f t="shared" si="15"/>
        <v>0</v>
      </c>
      <c r="BP23" s="319">
        <f t="shared" si="16"/>
        <v>0</v>
      </c>
      <c r="BQ23" s="319" t="b">
        <f t="shared" si="17"/>
        <v>0</v>
      </c>
      <c r="BR23" s="319">
        <f t="shared" si="18"/>
        <v>0</v>
      </c>
      <c r="BS23" s="319" t="b">
        <f t="shared" si="19"/>
        <v>0</v>
      </c>
      <c r="BT23" s="319">
        <f t="shared" si="20"/>
        <v>0</v>
      </c>
      <c r="BU23" s="319">
        <f t="shared" si="21"/>
        <v>546.09608880000008</v>
      </c>
      <c r="BV23" s="319" t="b">
        <f t="shared" si="22"/>
        <v>0</v>
      </c>
      <c r="BW23" s="319" t="b">
        <f t="shared" si="23"/>
        <v>0</v>
      </c>
      <c r="BX23" s="319" t="b">
        <f t="shared" si="24"/>
        <v>0</v>
      </c>
      <c r="BY23" s="319" t="b">
        <f t="shared" si="25"/>
        <v>0</v>
      </c>
      <c r="BZ23" s="319" t="b">
        <f t="shared" si="26"/>
        <v>0</v>
      </c>
      <c r="CA23" s="319" t="b">
        <f t="shared" si="27"/>
        <v>0</v>
      </c>
      <c r="CB23" s="319" t="b">
        <f t="shared" si="28"/>
        <v>0</v>
      </c>
      <c r="CC23" s="319" t="b">
        <f t="shared" si="29"/>
        <v>0</v>
      </c>
      <c r="CD23" s="319" t="b">
        <f t="shared" si="30"/>
        <v>0</v>
      </c>
      <c r="CE23" s="319" t="b">
        <f t="shared" si="31"/>
        <v>0</v>
      </c>
      <c r="CF23" s="319" t="b">
        <f t="shared" si="32"/>
        <v>0</v>
      </c>
    </row>
    <row r="24" spans="1:84" ht="13.2">
      <c r="A24" s="991">
        <v>17</v>
      </c>
      <c r="B24" s="577">
        <f>SUM($C$5:C24)</f>
        <v>17</v>
      </c>
      <c r="C24" s="503">
        <f t="shared" si="133"/>
        <v>1</v>
      </c>
      <c r="D24" s="999" t="s">
        <v>604</v>
      </c>
      <c r="E24" s="847" t="s">
        <v>605</v>
      </c>
      <c r="F24" s="847"/>
      <c r="G24" s="847">
        <v>3178.55</v>
      </c>
      <c r="H24" s="88">
        <v>392</v>
      </c>
      <c r="I24" s="88"/>
      <c r="J24" s="88">
        <f>IF(F24&lt;=1966,'Założenia,wskaźniki, listy'!$H$4,IF(F24&gt;1966,IF(F24&lt;=1985,'Założenia,wskaźniki, listy'!$H$5,IF(F24&gt;1985,IF(F24&lt;=1992,'Założenia,wskaźniki, listy'!$H$6,IF(F24&gt;1992,IF(F24&lt;=1996,'Założenia,wskaźniki, listy'!$H$7,IF(F24&gt;1996,IF(F24&lt;=2013,'Założenia,wskaźniki, listy'!$H$8)))))))))</f>
        <v>290</v>
      </c>
      <c r="K24" s="864" t="s">
        <v>33</v>
      </c>
      <c r="L24" s="88" t="s">
        <v>27</v>
      </c>
      <c r="M24" s="88">
        <v>120</v>
      </c>
      <c r="N24" s="579">
        <v>2010</v>
      </c>
      <c r="O24" s="579" t="s">
        <v>606</v>
      </c>
      <c r="P24" s="88" t="s">
        <v>313</v>
      </c>
      <c r="Q24" s="480">
        <f t="shared" si="2"/>
        <v>2486.27235195</v>
      </c>
      <c r="R24" s="249">
        <f>IF(K24="kompletna",J24*G24*0.0036*'Założenia,wskaźniki, listy'!$C$15,IF(K24="częściowa",J24*G24*0.0036*'Założenia,wskaźniki, listy'!$C$16,IF(K24="brak",J24*G24*0.0036*'Założenia,wskaźniki, listy'!$C$17,0)))</f>
        <v>2654.72496</v>
      </c>
      <c r="S24" s="249">
        <f>H24*'Założenia,wskaźniki, listy'!$L$16</f>
        <v>157.81974390000002</v>
      </c>
      <c r="T24" s="249">
        <f>IF(L24="węgiel",M24*'Założenia,wskaźniki, listy'!$B$4,IF(L24="gaz",M24*'Założenia,wskaźniki, listy'!$B$5,IF(L24="drewno",M24*'Założenia,wskaźniki, listy'!$B$6,IF(L24="pelet",M24*'Założenia,wskaźniki, listy'!$B$7,IF(L24="olej opałowy",M24*'Założenia,wskaźniki, listy'!$B$8,IF(L24="sieć ciepłownicza",0,0))))))</f>
        <v>2160</v>
      </c>
      <c r="U24" s="578">
        <f>IF(L24="węgiel",T24*'Założenia,wskaźniki, listy'!$C$44,IF(L24="gaz",T24*'Założenia,wskaźniki, listy'!$D$44,IF(L24="drewno",T24*'Założenia,wskaźniki, listy'!$E$44,IF(L24="pelet",T24*'Założenia,wskaźniki, listy'!$F$44,IF(L24="olej opałowy",T24*'Założenia,wskaźniki, listy'!$G$44,IF(L24="sieć ciepłownicza",0,IF(L24="prąd",0,0)))))))</f>
        <v>1.0367999999999999</v>
      </c>
      <c r="V24" s="578">
        <f>IF(L24="węgiel",T24*'Założenia,wskaźniki, listy'!$C$45,IF(L24="gaz",T24*'Założenia,wskaźniki, listy'!$D$45,IF(L24="drewno",T24*'Założenia,wskaźniki, listy'!$E$45,IF(L24="pelet",T24*'Założenia,wskaźniki, listy'!$F$45,IF(L24="olej opałowy",T24*'Założenia,wskaźniki, listy'!$G$45,IF(L24="sieć ciepłownicza",0,IF(L24="prąd",0,0)))))))</f>
        <v>1.0151999999999999</v>
      </c>
      <c r="W24" s="578">
        <f>IF(L24="węgiel",T24*'Założenia,wskaźniki, listy'!$C$46,IF(L24="gaz",T24*'Założenia,wskaźniki, listy'!$D$46,IF(L24="drewno",T24*'Założenia,wskaźniki, listy'!$E$46,IF(L24="pelet",T24*'Założenia,wskaźniki, listy'!$F$46,IF(L24="olej opałowy",T24*'Założenia,wskaźniki, listy'!$G$46,IF(L24="sieć ciepłownicza",0,IF(L24="prąd",0,0)))))))</f>
        <v>0</v>
      </c>
      <c r="X24" s="578">
        <f>IF(L24="węgiel",T24*'Założenia,wskaźniki, listy'!$C$47,IF(L24="gaz",T24*'Założenia,wskaźniki, listy'!$D$47,IF(L24="drewno",T24*'Założenia,wskaźniki, listy'!$E$47,IF(L24="pelet",T24*'Założenia,wskaźniki, listy'!$F$47,IF(L24="olej opałowy",T24*'Założenia,wskaźniki, listy'!$G$47,IF(L24="sieć ciepłownicza",0,IF(L24="prąd",0,0)))))))</f>
        <v>2.6136000000000003E-4</v>
      </c>
      <c r="Y24" s="578">
        <f>IF(L24="węgiel",T24*'Założenia,wskaźniki, listy'!$C$48,IF(L24="gaz",T24*'Założenia,wskaźniki, listy'!$D$48,IF(L24="drewno",T24*'Założenia,wskaźniki, listy'!$E$48,IF(L24="pelet",T24*'Założenia,wskaźniki, listy'!$F$48,IF(L24="olej opałowy",T24*'Założenia,wskaźniki, listy'!$G$48,IF(L24="sieć ciepłownicza",0,IF(L24="prąd",0,0)))))))</f>
        <v>2.376E-2</v>
      </c>
      <c r="Z24" s="578">
        <f>IF(L24="węgiel",T24*'Założenia,wskaźniki, listy'!$C$49,IF(L24="gaz",T24*'Założenia,wskaźniki, listy'!$D$49,IF(L24="drewno",T24*'Założenia,wskaźniki, listy'!$E$49,IF(L24="pelet",T24*'Założenia,wskaźniki, listy'!$F$49,IF(L24="olej opałowy",T24*'Założenia,wskaźniki, listy'!$G$49,IF(L24="sieć ciepłownicza",0,IF(L24="prąd",0,0)))))))</f>
        <v>0.17280000000000001</v>
      </c>
      <c r="AA24" s="578">
        <f>IF(L24="węgiel",T24*'Założenia,wskaźniki, listy'!$C$50,IF(L24="gaz",T24*'Założenia,wskaźniki, listy'!$D$50,IF(L24="drewno",T24*'Założenia,wskaźniki, listy'!$E$50,IF(L24="pelet",T24*'Założenia,wskaźniki, listy'!$F$50,IF(L24="olej opałowy",T24*'Założenia,wskaźniki, listy'!$G$50,IF(L24="sieć ciepłownicza",0,IF(L24="prąd",0,0)))))))</f>
        <v>0.38750400000000002</v>
      </c>
      <c r="AB24" s="578">
        <f>IF(L24="węgiel",T24*Z!$C$44,IF(L24="gaz",T24*Z!$D$44,IF(L24="drewno",T24*Z!$E$44,IF(L24="pelet",T24*Z!$F$44,IF(L24="olej opałowy",T24*Z!$G$44,IF(L24="sieć ciepłownicza",0,IF(L24="prąd",0,0)))))))</f>
        <v>0.16416</v>
      </c>
      <c r="AC24" s="578">
        <f>IF(L24="węgiel",T24*Z!$C$45,IF(L24="gaz",T24*Z!$D$45,IF(L24="drewno",T24*Z!$E$45,IF(L24="pelet",T24*Z!$F$45,IF(L24="olej opałowy",T24*Z!$G$45,IF(L24="sieć ciepłownicza",0,IF(L24="prąd",0,0)))))))</f>
        <v>0.16416</v>
      </c>
      <c r="AD24" s="578">
        <f>IF(L24="węgiel",T24*Z!$C$46,IF(L24="gaz",T24*Z!$D$46,IF(L24="drewno",T24*Z!$E$46,IF(L24="pelet",T24*Z!$F$46,IF(L24="olej opałowy",T24*Z!$G$46,IF(L24="sieć ciepłownicza",0,IF(L24="prąd",0,0)))))))</f>
        <v>0</v>
      </c>
      <c r="AE24" s="578">
        <f>IF(L24="węgiel",T24*Z!$C$47,IF(L24="gaz",T24*Z!$D$47,IF(L24="drewno",T24*Z!$E$47,IF(L24="pelet",T24*Z!$F$47,IF(L24="olej opałowy",T24*Z!$G$47,IF(L24="sieć ciepłownicza",0,IF(L24="prąd",0,0)))))))</f>
        <v>1.08E-4</v>
      </c>
      <c r="AF24" s="578">
        <f>IF(L24="węgiel",T24*Z!$C$48,IF(L24="gaz",T24*Z!$D$48,IF(L24="drewno",T24*Z!$E$48,IF(L24="pelet",T24*Z!$F$48,IF(L24="olej opałowy",T24*Z!$G$48,IF(L24="sieć ciepłownicza",0,IF(L24="prąd",0,0)))))))</f>
        <v>4.3200000000000002E-2</v>
      </c>
      <c r="AG24" s="578">
        <f>IF(L24="węgiel",T24*Z!$C$49,IF(L24="gaz",T24*Z!$D$49,IF(L24="drewno",T24*Z!$E$49,IF(L24="pelet",T24*Z!$F$49,IF(L24="olej opałowy",T24*Z!$G$49,IF(L24="sieć ciepłownicza",0,IF(L24="prąd",0,0)))))))</f>
        <v>4.3200000000000002E-2</v>
      </c>
      <c r="AH24" s="578">
        <f>IF(L24="węgiel",T24*Z!$C$50,IF(L24="gaz",T24*Z!$D$50,IF(L24="drewno",T24*Z!$E$50,IF(L24="pelet",T24*Z!$F$50,IF(L24="olej opałowy",T24*Z!$G$50,IF(L24="sieć ciepłownicza",0,IF(L24="prąd",0,0)))))))</f>
        <v>0.38750400000000002</v>
      </c>
      <c r="AI24" s="578">
        <f>IF(P24="węgiel",S24*'Założenia,wskaźniki, listy'!$C$44,IF(P24="gaz",S24*'Założenia,wskaźniki, listy'!$D$44,IF(P24="drewno",S24*'Założenia,wskaźniki, listy'!$E$44,IF(P24="pelet",S24*'Założenia,wskaźniki, listy'!$F$44,IF(P24="olej opałowy",S24*'Założenia,wskaźniki, listy'!$G$44,IF(P24="sieć ciepłownicza",0,IF(P24="prąd",0,0)))))))</f>
        <v>0</v>
      </c>
      <c r="AJ24" s="578">
        <f>IF(Q24="węgiel",T24*'Założenia,wskaźniki, listy'!$C$45,IF(Q24="gaz",T24*'Założenia,wskaźniki, listy'!$D$45,IF(Q24="drewno",T24*'Założenia,wskaźniki, listy'!$E$45,IF(Q24="pelet",T24*'Założenia,wskaźniki, listy'!$F$45,IF(Q24="olej opałowy",T24*'Założenia,wskaźniki, listy'!$G$45,IF(Q24="sieć ciepłownicza",0,IF(Q24="prąd",0,0)))))))</f>
        <v>0</v>
      </c>
      <c r="AK24" s="578">
        <f>IF(Q24="węgiel",T24*'Założenia,wskaźniki, listy'!$C$46,IF(Q24="gaz",T24*'Założenia,wskaźniki, listy'!$D$46,IF(Q24="drewno",T24*'Założenia,wskaźniki, listy'!$E$46,IF(Q24="pelet",T24*'Założenia,wskaźniki, listy'!$F$46,IF(Q24="olej opałowy",T24*'Założenia,wskaźniki, listy'!$G$46,IF(Q24="sieć ciepłownicza",0,IF(Q24="prąd",0,0)))))))</f>
        <v>0</v>
      </c>
      <c r="AL24" s="578">
        <f>IF(Q24="węgiel",T24*'Założenia,wskaźniki, listy'!$C$47,IF(Q24="gaz",T24*'Założenia,wskaźniki, listy'!$D$47,IF(Q24="drewno",T24*'Założenia,wskaźniki, listy'!$E$47,IF(Q24="pelet",T24*'Założenia,wskaźniki, listy'!$F$47,IF(Q24="olej opałowy",T24*'Założenia,wskaźniki, listy'!$G$47,IF(Q24="sieć ciepłownicza",0,IF(Q24="prąd",0,0)))))))</f>
        <v>0</v>
      </c>
      <c r="AM24" s="578">
        <f>IF(Q24="węgiel",T24*'Założenia,wskaźniki, listy'!$C$48,IF(Q24="gaz",T24*'Założenia,wskaźniki, listy'!$D$48,IF(Q24="drewno",T24*'Założenia,wskaźniki, listy'!$E$48,IF(Q24="pelet",T24*'Założenia,wskaźniki, listy'!$F$48,IF(Q24="olej opałowy",T24*'Założenia,wskaźniki, listy'!$G$48,IF(Q24="sieć ciepłownicza",0,IF(Q24="prąd",0,0)))))))</f>
        <v>0</v>
      </c>
      <c r="AN24" s="578">
        <f>IF(Q24="węgiel",T24*'Założenia,wskaźniki, listy'!$C$49,IF(Q24="gaz",T24*'Założenia,wskaźniki, listy'!$D$49,IF(Q24="drewno",T24*'Założenia,wskaźniki, listy'!$E$49,IF(Q24="pelet",T24*'Założenia,wskaźniki, listy'!$F$49,IF(Q24="olej opałowy",T24*'Założenia,wskaźniki, listy'!$G$49,IF(Q24="sieć ciepłownicza",0,IF(Q24="prąd",0,0)))))))</f>
        <v>0</v>
      </c>
      <c r="AO24" s="578">
        <f>IF(Q24="węgiel",T24*'Założenia,wskaźniki, listy'!$C$50,IF(Q24="gaz",T24*'Założenia,wskaźniki, listy'!$D$50,IF(Q24="drewno",T24*'Założenia,wskaźniki, listy'!$E$50,IF(Q24="pelet",T24*'Założenia,wskaźniki, listy'!$F$50,IF(Q24="olej opałowy",T24*'Założenia,wskaźniki, listy'!$G$50,IF(Q24="sieć ciepłownicza",0,IF(Q24="prąd",0,0)))))))</f>
        <v>0</v>
      </c>
      <c r="AP24" s="578">
        <v>36.630000000000003</v>
      </c>
      <c r="AQ24" s="578">
        <v>15</v>
      </c>
      <c r="AR24" s="594">
        <f t="shared" si="3"/>
        <v>0.16416</v>
      </c>
      <c r="AS24" s="594">
        <f t="shared" si="4"/>
        <v>0.16416</v>
      </c>
      <c r="AT24" s="578">
        <f>IF(P24="energia el.",(IF(O24&gt;=50,AD24,W24)+AP24*Z!$J$46),(IF(O24&gt;=50,AD24,W24)+AP24*Z!$J$46))</f>
        <v>30.457845000000002</v>
      </c>
      <c r="AU24" s="578">
        <f t="shared" si="5"/>
        <v>1.08E-4</v>
      </c>
      <c r="AV24" s="578">
        <f t="shared" si="6"/>
        <v>4.3200000000000002E-2</v>
      </c>
      <c r="AW24" s="578">
        <f t="shared" si="7"/>
        <v>4.3200000000000002E-2</v>
      </c>
      <c r="AX24" s="578">
        <f t="shared" si="8"/>
        <v>0.38750400000000002</v>
      </c>
      <c r="AY24" s="88" t="s">
        <v>88</v>
      </c>
      <c r="AZ24" s="579"/>
      <c r="BA24" s="576"/>
      <c r="BB24" s="579" t="s">
        <v>109</v>
      </c>
      <c r="BC24" s="579" t="s">
        <v>3</v>
      </c>
      <c r="BD24" s="579">
        <v>2020</v>
      </c>
      <c r="BE24" s="579" t="s">
        <v>109</v>
      </c>
      <c r="BF24" s="579" t="s">
        <v>88</v>
      </c>
      <c r="BG24" s="579">
        <v>2020</v>
      </c>
      <c r="BH24" s="579"/>
      <c r="BI24" s="308" t="b">
        <f t="shared" si="9"/>
        <v>0</v>
      </c>
      <c r="BJ24" s="308">
        <f t="shared" si="10"/>
        <v>2160</v>
      </c>
      <c r="BK24" s="319">
        <f t="shared" si="11"/>
        <v>3178.55</v>
      </c>
      <c r="BL24" s="319">
        <f t="shared" si="12"/>
        <v>1589.2750000000001</v>
      </c>
      <c r="BM24" s="319" t="b">
        <f t="shared" si="13"/>
        <v>0</v>
      </c>
      <c r="BN24" s="319">
        <f t="shared" si="14"/>
        <v>0</v>
      </c>
      <c r="BO24" s="319" t="b">
        <f t="shared" si="15"/>
        <v>0</v>
      </c>
      <c r="BP24" s="319">
        <f t="shared" si="16"/>
        <v>0</v>
      </c>
      <c r="BQ24" s="319" t="b">
        <f t="shared" si="17"/>
        <v>0</v>
      </c>
      <c r="BR24" s="319">
        <f t="shared" si="18"/>
        <v>0</v>
      </c>
      <c r="BS24" s="319" t="b">
        <f t="shared" si="19"/>
        <v>0</v>
      </c>
      <c r="BT24" s="319">
        <f t="shared" si="20"/>
        <v>0</v>
      </c>
      <c r="BU24" s="319" t="b">
        <f t="shared" si="21"/>
        <v>0</v>
      </c>
      <c r="BV24" s="319" t="b">
        <f t="shared" si="22"/>
        <v>0</v>
      </c>
      <c r="BW24" s="319" t="b">
        <f t="shared" si="23"/>
        <v>0</v>
      </c>
      <c r="BX24" s="319">
        <f t="shared" si="24"/>
        <v>2160</v>
      </c>
      <c r="BY24" s="319" t="b">
        <f t="shared" si="25"/>
        <v>0</v>
      </c>
      <c r="BZ24" s="319" t="b">
        <f t="shared" si="26"/>
        <v>0</v>
      </c>
      <c r="CA24" s="319" t="b">
        <f t="shared" si="27"/>
        <v>0</v>
      </c>
      <c r="CB24" s="319" t="b">
        <f t="shared" si="28"/>
        <v>0</v>
      </c>
      <c r="CC24" s="319" t="b">
        <f t="shared" si="29"/>
        <v>0</v>
      </c>
      <c r="CD24" s="319" t="b">
        <f t="shared" si="30"/>
        <v>0</v>
      </c>
      <c r="CE24" s="319" t="b">
        <f t="shared" si="31"/>
        <v>0</v>
      </c>
      <c r="CF24" s="319">
        <f t="shared" si="32"/>
        <v>157.81974390000002</v>
      </c>
    </row>
    <row r="25" spans="1:84" ht="13.2">
      <c r="A25" s="992"/>
      <c r="B25" s="847">
        <f>SUM($C$5:C25)</f>
        <v>17</v>
      </c>
      <c r="C25" s="503" t="b">
        <f t="shared" si="133"/>
        <v>0</v>
      </c>
      <c r="D25" s="994"/>
      <c r="F25" s="847"/>
      <c r="G25" s="847"/>
      <c r="H25" s="88"/>
      <c r="I25" s="88"/>
      <c r="J25" s="88">
        <f>IF(F25&lt;=1966,'Założenia,wskaźniki, listy'!$H$4,IF(F25&gt;1966,IF(F25&lt;=1985,'Założenia,wskaźniki, listy'!$H$5,IF(F25&gt;1985,IF(F25&lt;=1992,'Założenia,wskaźniki, listy'!$H$6,IF(F25&gt;1992,IF(F25&lt;=1996,'Założenia,wskaźniki, listy'!$H$7,IF(F25&gt;1996,IF(F25&lt;=2013,'Założenia,wskaźniki, listy'!$H$8)))))))))</f>
        <v>290</v>
      </c>
      <c r="K25" s="864"/>
      <c r="L25" s="88"/>
      <c r="M25" s="88"/>
      <c r="N25" s="850"/>
      <c r="O25" s="850"/>
      <c r="P25" s="88"/>
      <c r="Q25" s="480">
        <f t="shared" ref="Q25" si="135">IF(R25&gt;0,(S25+T25+R25)/2,S25+T25)</f>
        <v>0</v>
      </c>
      <c r="R25" s="249">
        <f>IF(K25="kompletna",J25*G25*0.0036*'Założenia,wskaźniki, listy'!$C$15,IF(K25="częściowa",J25*G25*0.0036*'Założenia,wskaźniki, listy'!$C$16,IF(K25="brak",J25*G25*0.0036*'Założenia,wskaźniki, listy'!$C$17,0)))</f>
        <v>0</v>
      </c>
      <c r="S25" s="249">
        <f>H25*'Założenia,wskaźniki, listy'!$L$16</f>
        <v>0</v>
      </c>
      <c r="T25" s="249">
        <f>IF(L25="węgiel",M25*'Założenia,wskaźniki, listy'!$B$4,IF(L25="gaz",M25*'Założenia,wskaźniki, listy'!$B$5,IF(L25="drewno",M25*'Założenia,wskaźniki, listy'!$B$6,IF(L25="pelet",M25*'Założenia,wskaźniki, listy'!$B$7,IF(L25="olej opałowy",M25*'Założenia,wskaźniki, listy'!$B$8,IF(L25="sieć ciepłownicza",0,0))))))</f>
        <v>0</v>
      </c>
      <c r="U25" s="849">
        <f>IF(L25="węgiel",T25*'Założenia,wskaźniki, listy'!$C$44,IF(L25="gaz",T25*'Założenia,wskaźniki, listy'!$D$44,IF(L25="drewno",T25*'Założenia,wskaźniki, listy'!$E$44,IF(L25="pelet",T25*'Założenia,wskaźniki, listy'!$F$44,IF(L25="olej opałowy",T25*'Założenia,wskaźniki, listy'!$G$44,IF(L25="sieć ciepłownicza",0,IF(L25="prąd",0,0)))))))</f>
        <v>0</v>
      </c>
      <c r="V25" s="849">
        <f>IF(L25="węgiel",T25*'Założenia,wskaźniki, listy'!$C$45,IF(L25="gaz",T25*'Założenia,wskaźniki, listy'!$D$45,IF(L25="drewno",T25*'Założenia,wskaźniki, listy'!$E$45,IF(L25="pelet",T25*'Założenia,wskaźniki, listy'!$F$45,IF(L25="olej opałowy",T25*'Założenia,wskaźniki, listy'!$G$45,IF(L25="sieć ciepłownicza",0,IF(L25="prąd",0,0)))))))</f>
        <v>0</v>
      </c>
      <c r="W25" s="849">
        <f>IF(L25="węgiel",T25*'Założenia,wskaźniki, listy'!$C$46,IF(L25="gaz",T25*'Założenia,wskaźniki, listy'!$D$46,IF(L25="drewno",T25*'Założenia,wskaźniki, listy'!$E$46,IF(L25="pelet",T25*'Założenia,wskaźniki, listy'!$F$46,IF(L25="olej opałowy",T25*'Założenia,wskaźniki, listy'!$G$46,IF(L25="sieć ciepłownicza",0,IF(L25="prąd",0,0)))))))</f>
        <v>0</v>
      </c>
      <c r="X25" s="849">
        <f>IF(L25="węgiel",T25*'Założenia,wskaźniki, listy'!$C$47,IF(L25="gaz",T25*'Założenia,wskaźniki, listy'!$D$47,IF(L25="drewno",T25*'Założenia,wskaźniki, listy'!$E$47,IF(L25="pelet",T25*'Założenia,wskaźniki, listy'!$F$47,IF(L25="olej opałowy",T25*'Założenia,wskaźniki, listy'!$G$47,IF(L25="sieć ciepłownicza",0,IF(L25="prąd",0,0)))))))</f>
        <v>0</v>
      </c>
      <c r="Y25" s="849">
        <f>IF(L25="węgiel",T25*'Założenia,wskaźniki, listy'!$C$48,IF(L25="gaz",T25*'Założenia,wskaźniki, listy'!$D$48,IF(L25="drewno",T25*'Założenia,wskaźniki, listy'!$E$48,IF(L25="pelet",T25*'Założenia,wskaźniki, listy'!$F$48,IF(L25="olej opałowy",T25*'Założenia,wskaźniki, listy'!$G$48,IF(L25="sieć ciepłownicza",0,IF(L25="prąd",0,0)))))))</f>
        <v>0</v>
      </c>
      <c r="Z25" s="849">
        <f>IF(L25="węgiel",T25*'Założenia,wskaźniki, listy'!$C$49,IF(L25="gaz",T25*'Założenia,wskaźniki, listy'!$D$49,IF(L25="drewno",T25*'Założenia,wskaźniki, listy'!$E$49,IF(L25="pelet",T25*'Założenia,wskaźniki, listy'!$F$49,IF(L25="olej opałowy",T25*'Założenia,wskaźniki, listy'!$G$49,IF(L25="sieć ciepłownicza",0,IF(L25="prąd",0,0)))))))</f>
        <v>0</v>
      </c>
      <c r="AA25" s="849">
        <f>IF(L25="węgiel",T25*'Założenia,wskaźniki, listy'!$C$50,IF(L25="gaz",T25*'Założenia,wskaźniki, listy'!$D$50,IF(L25="drewno",T25*'Założenia,wskaźniki, listy'!$E$50,IF(L25="pelet",T25*'Założenia,wskaźniki, listy'!$F$50,IF(L25="olej opałowy",T25*'Założenia,wskaźniki, listy'!$G$50,IF(L25="sieć ciepłownicza",0,IF(L25="prąd",0,0)))))))</f>
        <v>0</v>
      </c>
      <c r="AB25" s="849">
        <f>IF(L25="węgiel",T25*Z!$C$44,IF(L25="gaz",T25*Z!$D$44,IF(L25="drewno",T25*Z!$E$44,IF(L25="pelet",T25*Z!$F$44,IF(L25="olej opałowy",T25*Z!$G$44,IF(L25="sieć ciepłownicza",0,IF(L25="prąd",0,0)))))))</f>
        <v>0</v>
      </c>
      <c r="AC25" s="849">
        <f>IF(L25="węgiel",T25*Z!$C$45,IF(L25="gaz",T25*Z!$D$45,IF(L25="drewno",T25*Z!$E$45,IF(L25="pelet",T25*Z!$F$45,IF(L25="olej opałowy",T25*Z!$G$45,IF(L25="sieć ciepłownicza",0,IF(L25="prąd",0,0)))))))</f>
        <v>0</v>
      </c>
      <c r="AD25" s="849">
        <f>IF(L25="węgiel",T25*Z!$C$46,IF(L25="gaz",T25*Z!$D$46,IF(L25="drewno",T25*Z!$E$46,IF(L25="pelet",T25*Z!$F$46,IF(L25="olej opałowy",T25*Z!$G$46,IF(L25="sieć ciepłownicza",0,IF(L25="prąd",0,0)))))))</f>
        <v>0</v>
      </c>
      <c r="AE25" s="849">
        <f>IF(L25="węgiel",T25*Z!$C$47,IF(L25="gaz",T25*Z!$D$47,IF(L25="drewno",T25*Z!$E$47,IF(L25="pelet",T25*Z!$F$47,IF(L25="olej opałowy",T25*Z!$G$47,IF(L25="sieć ciepłownicza",0,IF(L25="prąd",0,0)))))))</f>
        <v>0</v>
      </c>
      <c r="AF25" s="849">
        <f>IF(L25="węgiel",T25*Z!$C$48,IF(L25="gaz",T25*Z!$D$48,IF(L25="drewno",T25*Z!$E$48,IF(L25="pelet",T25*Z!$F$48,IF(L25="olej opałowy",T25*Z!$G$48,IF(L25="sieć ciepłownicza",0,IF(L25="prąd",0,0)))))))</f>
        <v>0</v>
      </c>
      <c r="AG25" s="849">
        <f>IF(L25="węgiel",T25*Z!$C$49,IF(L25="gaz",T25*Z!$D$49,IF(L25="drewno",T25*Z!$E$49,IF(L25="pelet",T25*Z!$F$49,IF(L25="olej opałowy",T25*Z!$G$49,IF(L25="sieć ciepłownicza",0,IF(L25="prąd",0,0)))))))</f>
        <v>0</v>
      </c>
      <c r="AH25" s="849">
        <f>IF(L25="węgiel",T25*Z!$C$50,IF(L25="gaz",T25*Z!$D$50,IF(L25="drewno",T25*Z!$E$50,IF(L25="pelet",T25*Z!$F$50,IF(L25="olej opałowy",T25*Z!$G$50,IF(L25="sieć ciepłownicza",0,IF(L25="prąd",0,0)))))))</f>
        <v>0</v>
      </c>
      <c r="AI25" s="849">
        <f>IF(P25="węgiel",S25*'Założenia,wskaźniki, listy'!$C$44,IF(P25="gaz",S25*'Założenia,wskaźniki, listy'!$D$44,IF(P25="drewno",S25*'Założenia,wskaźniki, listy'!$E$44,IF(P25="pelet",S25*'Założenia,wskaźniki, listy'!$F$44,IF(P25="olej opałowy",S25*'Założenia,wskaźniki, listy'!$G$44,IF(P25="sieć ciepłownicza",0,IF(P25="prąd",0,0)))))))</f>
        <v>0</v>
      </c>
      <c r="AJ25" s="849">
        <f>IF(Q25="węgiel",T25*'Założenia,wskaźniki, listy'!$C$45,IF(Q25="gaz",T25*'Założenia,wskaźniki, listy'!$D$45,IF(Q25="drewno",T25*'Założenia,wskaźniki, listy'!$E$45,IF(Q25="pelet",T25*'Założenia,wskaźniki, listy'!$F$45,IF(Q25="olej opałowy",T25*'Założenia,wskaźniki, listy'!$G$45,IF(Q25="sieć ciepłownicza",0,IF(Q25="prąd",0,0)))))))</f>
        <v>0</v>
      </c>
      <c r="AK25" s="849">
        <f>IF(Q25="węgiel",T25*'Założenia,wskaźniki, listy'!$C$46,IF(Q25="gaz",T25*'Założenia,wskaźniki, listy'!$D$46,IF(Q25="drewno",T25*'Założenia,wskaźniki, listy'!$E$46,IF(Q25="pelet",T25*'Założenia,wskaźniki, listy'!$F$46,IF(Q25="olej opałowy",T25*'Założenia,wskaźniki, listy'!$G$46,IF(Q25="sieć ciepłownicza",0,IF(Q25="prąd",0,0)))))))</f>
        <v>0</v>
      </c>
      <c r="AL25" s="849">
        <f>IF(Q25="węgiel",T25*'Założenia,wskaźniki, listy'!$C$47,IF(Q25="gaz",T25*'Założenia,wskaźniki, listy'!$D$47,IF(Q25="drewno",T25*'Założenia,wskaźniki, listy'!$E$47,IF(Q25="pelet",T25*'Założenia,wskaźniki, listy'!$F$47,IF(Q25="olej opałowy",T25*'Założenia,wskaźniki, listy'!$G$47,IF(Q25="sieć ciepłownicza",0,IF(Q25="prąd",0,0)))))))</f>
        <v>0</v>
      </c>
      <c r="AM25" s="849">
        <f>IF(Q25="węgiel",T25*'Założenia,wskaźniki, listy'!$C$48,IF(Q25="gaz",T25*'Założenia,wskaźniki, listy'!$D$48,IF(Q25="drewno",T25*'Założenia,wskaźniki, listy'!$E$48,IF(Q25="pelet",T25*'Założenia,wskaźniki, listy'!$F$48,IF(Q25="olej opałowy",T25*'Założenia,wskaźniki, listy'!$G$48,IF(Q25="sieć ciepłownicza",0,IF(Q25="prąd",0,0)))))))</f>
        <v>0</v>
      </c>
      <c r="AN25" s="849">
        <f>IF(Q25="węgiel",T25*'Założenia,wskaźniki, listy'!$C$49,IF(Q25="gaz",T25*'Założenia,wskaźniki, listy'!$D$49,IF(Q25="drewno",T25*'Założenia,wskaźniki, listy'!$E$49,IF(Q25="pelet",T25*'Założenia,wskaźniki, listy'!$F$49,IF(Q25="olej opałowy",T25*'Założenia,wskaźniki, listy'!$G$49,IF(Q25="sieć ciepłownicza",0,IF(Q25="prąd",0,0)))))))</f>
        <v>0</v>
      </c>
      <c r="AO25" s="849">
        <f>IF(Q25="węgiel",T25*'Założenia,wskaźniki, listy'!$C$50,IF(Q25="gaz",T25*'Założenia,wskaźniki, listy'!$D$50,IF(Q25="drewno",T25*'Założenia,wskaźniki, listy'!$E$50,IF(Q25="pelet",T25*'Założenia,wskaźniki, listy'!$F$50,IF(Q25="olej opałowy",T25*'Założenia,wskaźniki, listy'!$G$50,IF(Q25="sieć ciepłownicza",0,IF(Q25="prąd",0,0)))))))</f>
        <v>0</v>
      </c>
      <c r="AP25" s="849"/>
      <c r="AQ25" s="849"/>
      <c r="AR25" s="849">
        <f t="shared" ref="AR25" si="136">AI25+IF(O25&gt;=50,AB25,U25)</f>
        <v>0</v>
      </c>
      <c r="AS25" s="849">
        <f t="shared" ref="AS25" si="137">AJ25+IF(O25&gt;=50,AC25,V25)</f>
        <v>0</v>
      </c>
      <c r="AT25" s="849">
        <f>IF(P25="energia el.",(IF(O25&gt;=50,AD25,W25)+AP25*Z!$J$46),(IF(O25&gt;=50,AD25,W25)+AP25*Z!$J$46))</f>
        <v>0</v>
      </c>
      <c r="AU25" s="849">
        <f t="shared" ref="AU25" si="138">AL25+IF(O25&gt;=50,AE25,X25)</f>
        <v>0</v>
      </c>
      <c r="AV25" s="849">
        <f t="shared" ref="AV25" si="139">AM25+IF(O25&gt;=50,AF25,Y25)</f>
        <v>0</v>
      </c>
      <c r="AW25" s="849">
        <f t="shared" ref="AW25" si="140">AN25+IF(O25&gt;=50,AG25,Z25)</f>
        <v>0</v>
      </c>
      <c r="AX25" s="849">
        <f t="shared" ref="AX25" si="141">AO25+IF(O25&gt;=50,AH25,AA25)</f>
        <v>0</v>
      </c>
      <c r="AY25" s="88"/>
      <c r="AZ25" s="850"/>
      <c r="BA25" s="583"/>
      <c r="BB25" s="850"/>
      <c r="BC25" s="850" t="s">
        <v>91</v>
      </c>
      <c r="BD25" s="850"/>
      <c r="BE25" s="850"/>
      <c r="BF25" s="850"/>
      <c r="BG25" s="850"/>
      <c r="BH25" s="850"/>
      <c r="BI25" s="308">
        <f t="shared" ref="BI25" si="142">IF(O25&lt;50,T25)</f>
        <v>0</v>
      </c>
      <c r="BJ25" s="308" t="b">
        <f t="shared" ref="BJ25" si="143">IF(O25&gt;=50,T25)</f>
        <v>0</v>
      </c>
      <c r="BK25" s="319">
        <f t="shared" ref="BK25" si="144">IF(F25&lt;=1966,G25)</f>
        <v>0</v>
      </c>
      <c r="BL25" s="319" t="b">
        <f t="shared" ref="BL25" si="145">IF(K25="kompletna",BK25,IF(K25="częściowa",0.5*BK25))</f>
        <v>0</v>
      </c>
      <c r="BM25" s="319" t="b">
        <f t="shared" ref="BM25" si="146">IF(F25&gt;1966,IF(F25&lt;=1985,G25))</f>
        <v>0</v>
      </c>
      <c r="BN25" s="319" t="b">
        <f t="shared" ref="BN25" si="147">IF(K25="kompletna",BM25,IF(K25="częściowa",0.5*BM25))</f>
        <v>0</v>
      </c>
      <c r="BO25" s="319" t="b">
        <f t="shared" ref="BO25" si="148">IF(F25&gt;1985,IF(F25&lt;=1992,G25))</f>
        <v>0</v>
      </c>
      <c r="BP25" s="319" t="b">
        <f t="shared" ref="BP25" si="149">IF(K25="kompletna",BO25,IF(K25="częściowa",0.5*BO25))</f>
        <v>0</v>
      </c>
      <c r="BQ25" s="319" t="b">
        <f t="shared" ref="BQ25" si="150">IF(F25&gt;1992,IF(F25&lt;=1996,G25))</f>
        <v>0</v>
      </c>
      <c r="BR25" s="319" t="b">
        <f t="shared" ref="BR25" si="151">IF(K25="kompletna",BQ25,IF(K25="częściowa",0.5*BQ25))</f>
        <v>0</v>
      </c>
      <c r="BS25" s="319" t="b">
        <f t="shared" ref="BS25" si="152">IF(F25&gt;1996,IF(F25&lt;=2014,G25))</f>
        <v>0</v>
      </c>
      <c r="BT25" s="319" t="b">
        <f t="shared" ref="BT25" si="153">IF(K25="kompletna",BS25,IF(K25="częściowa",0.5*BS25))</f>
        <v>0</v>
      </c>
      <c r="BU25" s="319" t="b">
        <f t="shared" ref="BU25" si="154">IF(L25="węgiel",T25)</f>
        <v>0</v>
      </c>
      <c r="BV25" s="319" t="b">
        <f t="shared" ref="BV25" si="155">IF(L25="gaz",Q25)</f>
        <v>0</v>
      </c>
      <c r="BW25" s="319" t="b">
        <f t="shared" ref="BW25" si="156">IF(L25="drewno",T25)</f>
        <v>0</v>
      </c>
      <c r="BX25" s="319" t="b">
        <f t="shared" ref="BX25" si="157">IF(L25="pelet",T25)</f>
        <v>0</v>
      </c>
      <c r="BY25" s="319" t="b">
        <f t="shared" ref="BY25" si="158">IF(L25="olej opałowy",T25)</f>
        <v>0</v>
      </c>
      <c r="BZ25" s="319" t="b">
        <f t="shared" ref="BZ25" si="159">IF(L25="energia el.",Q25)</f>
        <v>0</v>
      </c>
      <c r="CA25" s="319" t="b">
        <f t="shared" ref="CA25" si="160">IF(P25="węgiel",S25)</f>
        <v>0</v>
      </c>
      <c r="CB25" s="319" t="b">
        <f t="shared" ref="CB25" si="161">IF(P25="gaz",S25)</f>
        <v>0</v>
      </c>
      <c r="CC25" s="319" t="b">
        <f t="shared" ref="CC25" si="162">IF(P25="drewno",S25)</f>
        <v>0</v>
      </c>
      <c r="CD25" s="319" t="b">
        <f t="shared" ref="CD25" si="163">IF(P25="pelet",S25)</f>
        <v>0</v>
      </c>
      <c r="CE25" s="319" t="b">
        <f t="shared" ref="CE25" si="164">IF(P25="olej opałowy",S25)</f>
        <v>0</v>
      </c>
      <c r="CF25" s="319" t="b">
        <f t="shared" ref="CF25" si="165">IF(P25="energia el.",S25)</f>
        <v>0</v>
      </c>
    </row>
    <row r="26" spans="1:84" ht="13.2">
      <c r="A26" s="881">
        <v>18</v>
      </c>
      <c r="B26" s="566">
        <f>SUM($C$5:C26)</f>
        <v>18</v>
      </c>
      <c r="C26" s="503">
        <f t="shared" ref="C26:C28" si="166">IF(ISTEXT(D26),1)</f>
        <v>1</v>
      </c>
      <c r="D26" s="882" t="s">
        <v>406</v>
      </c>
      <c r="E26" s="847" t="s">
        <v>607</v>
      </c>
      <c r="F26" s="847">
        <v>1998</v>
      </c>
      <c r="G26" s="847">
        <v>2127.81</v>
      </c>
      <c r="H26" s="88"/>
      <c r="I26" s="88">
        <v>195</v>
      </c>
      <c r="J26" s="88">
        <f>IF(F26&lt;=1966,'Założenia,wskaźniki, listy'!$H$4,IF(F26&gt;1966,IF(F26&lt;=1985,'Założenia,wskaźniki, listy'!$H$5,IF(F26&gt;1985,IF(F26&lt;=1992,'Założenia,wskaźniki, listy'!$H$6,IF(F26&gt;1992,IF(F26&lt;=1996,'Założenia,wskaźniki, listy'!$H$7,IF(F26&gt;1996,IF(F26&lt;=2013,'Założenia,wskaźniki, listy'!$H$8)))))))))</f>
        <v>115</v>
      </c>
      <c r="K26" s="864" t="s">
        <v>31</v>
      </c>
      <c r="L26" s="88" t="s">
        <v>27</v>
      </c>
      <c r="M26" s="88">
        <v>70</v>
      </c>
      <c r="N26" s="567">
        <v>1998</v>
      </c>
      <c r="O26" s="567" t="s">
        <v>608</v>
      </c>
      <c r="P26" s="88"/>
      <c r="Q26" s="480">
        <f t="shared" si="2"/>
        <v>1070.45667</v>
      </c>
      <c r="R26" s="249">
        <f>IF(K26="kompletna",J26*G26*0.0036*'Założenia,wskaźniki, listy'!$C$15,IF(K26="częściowa",J26*G26*0.0036*'Założenia,wskaźniki, listy'!$C$16,IF(K26="brak",J26*G26*0.0036*'Założenia,wskaźniki, listy'!$C$17,0)))</f>
        <v>880.91333999999995</v>
      </c>
      <c r="S26" s="249">
        <f>H26*'Założenia,wskaźniki, listy'!$L$16</f>
        <v>0</v>
      </c>
      <c r="T26" s="249">
        <f>IF(L26="węgiel",M26*'Założenia,wskaźniki, listy'!$B$4,IF(L26="gaz",M26*'Założenia,wskaźniki, listy'!$B$5,IF(L26="drewno",M26*'Założenia,wskaźniki, listy'!$B$6,IF(L26="pelet",M26*'Założenia,wskaźniki, listy'!$B$7,IF(L26="olej opałowy",M26*'Założenia,wskaźniki, listy'!$B$8,IF(L26="sieć ciepłownicza",0,0))))))</f>
        <v>1260</v>
      </c>
      <c r="U26" s="568">
        <f>IF(L26="węgiel",T26*'Założenia,wskaźniki, listy'!$C$44,IF(L26="gaz",T26*'Założenia,wskaźniki, listy'!$D$44,IF(L26="drewno",T26*'Założenia,wskaźniki, listy'!$E$44,IF(L26="pelet",T26*'Założenia,wskaźniki, listy'!$F$44,IF(L26="olej opałowy",T26*'Założenia,wskaźniki, listy'!$G$44,IF(L26="sieć ciepłownicza",0,IF(L26="prąd",0,0)))))))</f>
        <v>0.6048</v>
      </c>
      <c r="V26" s="568">
        <f>IF(L26="węgiel",T26*'Założenia,wskaźniki, listy'!$C$45,IF(L26="gaz",T26*'Założenia,wskaźniki, listy'!$D$45,IF(L26="drewno",T26*'Założenia,wskaźniki, listy'!$E$45,IF(L26="pelet",T26*'Założenia,wskaźniki, listy'!$F$45,IF(L26="olej opałowy",T26*'Założenia,wskaźniki, listy'!$G$45,IF(L26="sieć ciepłownicza",0,IF(L26="prąd",0,0)))))))</f>
        <v>0.59219999999999995</v>
      </c>
      <c r="W26" s="568">
        <f>IF(L26="węgiel",T26*'Założenia,wskaźniki, listy'!$C$46,IF(L26="gaz",T26*'Założenia,wskaźniki, listy'!$D$46,IF(L26="drewno",T26*'Założenia,wskaźniki, listy'!$E$46,IF(L26="pelet",T26*'Założenia,wskaźniki, listy'!$F$46,IF(L26="olej opałowy",T26*'Założenia,wskaźniki, listy'!$G$46,IF(L26="sieć ciepłownicza",0,IF(L26="prąd",0,0)))))))</f>
        <v>0</v>
      </c>
      <c r="X26" s="568">
        <f>IF(L26="węgiel",T26*'Założenia,wskaźniki, listy'!$C$47,IF(L26="gaz",T26*'Założenia,wskaźniki, listy'!$D$47,IF(L26="drewno",T26*'Założenia,wskaźniki, listy'!$E$47,IF(L26="pelet",T26*'Założenia,wskaźniki, listy'!$F$47,IF(L26="olej opałowy",T26*'Założenia,wskaźniki, listy'!$G$47,IF(L26="sieć ciepłownicza",0,IF(L26="prąd",0,0)))))))</f>
        <v>1.5246000000000001E-4</v>
      </c>
      <c r="Y26" s="568">
        <f>IF(L26="węgiel",T26*'Założenia,wskaźniki, listy'!$C$48,IF(L26="gaz",T26*'Założenia,wskaźniki, listy'!$D$48,IF(L26="drewno",T26*'Założenia,wskaźniki, listy'!$E$48,IF(L26="pelet",T26*'Założenia,wskaźniki, listy'!$F$48,IF(L26="olej opałowy",T26*'Założenia,wskaźniki, listy'!$G$48,IF(L26="sieć ciepłownicza",0,IF(L26="prąd",0,0)))))))</f>
        <v>1.3859999999999999E-2</v>
      </c>
      <c r="Z26" s="568">
        <f>IF(L26="węgiel",T26*'Założenia,wskaźniki, listy'!$C$49,IF(L26="gaz",T26*'Założenia,wskaźniki, listy'!$D$49,IF(L26="drewno",T26*'Założenia,wskaźniki, listy'!$E$49,IF(L26="pelet",T26*'Założenia,wskaźniki, listy'!$F$49,IF(L26="olej opałowy",T26*'Założenia,wskaźniki, listy'!$G$49,IF(L26="sieć ciepłownicza",0,IF(L26="prąd",0,0)))))))</f>
        <v>0.10080000000000001</v>
      </c>
      <c r="AA26" s="568">
        <f>IF(L26="węgiel",T26*'Założenia,wskaźniki, listy'!$C$50,IF(L26="gaz",T26*'Założenia,wskaźniki, listy'!$D$50,IF(L26="drewno",T26*'Założenia,wskaźniki, listy'!$E$50,IF(L26="pelet",T26*'Założenia,wskaźniki, listy'!$F$50,IF(L26="olej opałowy",T26*'Założenia,wskaźniki, listy'!$G$50,IF(L26="sieć ciepłownicza",0,IF(L26="prąd",0,0)))))))</f>
        <v>0.22604399999999999</v>
      </c>
      <c r="AB26" s="568">
        <f>IF(L26="węgiel",T26*Z!$C$44,IF(L26="gaz",T26*Z!$D$44,IF(L26="drewno",T26*Z!$E$44,IF(L26="pelet",T26*Z!$F$44,IF(L26="olej opałowy",T26*Z!$G$44,IF(L26="sieć ciepłownicza",0,IF(L26="prąd",0,0)))))))</f>
        <v>9.5760000000000012E-2</v>
      </c>
      <c r="AC26" s="568">
        <f>IF(L26="węgiel",T26*Z!$C$45,IF(L26="gaz",T26*Z!$D$45,IF(L26="drewno",T26*Z!$E$45,IF(L26="pelet",T26*Z!$F$45,IF(L26="olej opałowy",T26*Z!$G$45,IF(L26="sieć ciepłownicza",0,IF(L26="prąd",0,0)))))))</f>
        <v>9.5760000000000012E-2</v>
      </c>
      <c r="AD26" s="568">
        <f>IF(L26="węgiel",T26*Z!$C$46,IF(L26="gaz",T26*Z!$D$46,IF(L26="drewno",T26*Z!$E$46,IF(L26="pelet",T26*Z!$F$46,IF(L26="olej opałowy",T26*Z!$G$46,IF(L26="sieć ciepłownicza",0,IF(L26="prąd",0,0)))))))</f>
        <v>0</v>
      </c>
      <c r="AE26" s="568">
        <f>IF(L26="węgiel",T26*Z!$C$47,IF(L26="gaz",T26*Z!$D$47,IF(L26="drewno",T26*Z!$E$47,IF(L26="pelet",T26*Z!$F$47,IF(L26="olej opałowy",T26*Z!$G$47,IF(L26="sieć ciepłownicza",0,IF(L26="prąd",0,0)))))))</f>
        <v>6.3E-5</v>
      </c>
      <c r="AF26" s="568">
        <f>IF(L26="węgiel",T26*Z!$C$48,IF(L26="gaz",T26*Z!$D$48,IF(L26="drewno",T26*Z!$E$48,IF(L26="pelet",T26*Z!$F$48,IF(L26="olej opałowy",T26*Z!$G$48,IF(L26="sieć ciepłownicza",0,IF(L26="prąd",0,0)))))))</f>
        <v>2.5200000000000004E-2</v>
      </c>
      <c r="AG26" s="568">
        <f>IF(L26="węgiel",T26*Z!$C$49,IF(L26="gaz",T26*Z!$D$49,IF(L26="drewno",T26*Z!$E$49,IF(L26="pelet",T26*Z!$F$49,IF(L26="olej opałowy",T26*Z!$G$49,IF(L26="sieć ciepłownicza",0,IF(L26="prąd",0,0)))))))</f>
        <v>2.5200000000000004E-2</v>
      </c>
      <c r="AH26" s="568">
        <f>IF(L26="węgiel",T26*Z!$C$50,IF(L26="gaz",T26*Z!$D$50,IF(L26="drewno",T26*Z!$E$50,IF(L26="pelet",T26*Z!$F$50,IF(L26="olej opałowy",T26*Z!$G$50,IF(L26="sieć ciepłownicza",0,IF(L26="prąd",0,0)))))))</f>
        <v>0.22604399999999999</v>
      </c>
      <c r="AI26" s="568">
        <f>IF(P26="węgiel",S26*'Założenia,wskaźniki, listy'!$C$44,IF(P26="gaz",S26*'Założenia,wskaźniki, listy'!$D$44,IF(P26="drewno",S26*'Założenia,wskaźniki, listy'!$E$44,IF(P26="pelet",S26*'Założenia,wskaźniki, listy'!$F$44,IF(P26="olej opałowy",S26*'Założenia,wskaźniki, listy'!$G$44,IF(P26="sieć ciepłownicza",0,IF(P26="prąd",0,0)))))))</f>
        <v>0</v>
      </c>
      <c r="AJ26" s="568">
        <f>IF(Q26="węgiel",T26*'Założenia,wskaźniki, listy'!$C$45,IF(Q26="gaz",T26*'Założenia,wskaźniki, listy'!$D$45,IF(Q26="drewno",T26*'Założenia,wskaźniki, listy'!$E$45,IF(Q26="pelet",T26*'Założenia,wskaźniki, listy'!$F$45,IF(Q26="olej opałowy",T26*'Założenia,wskaźniki, listy'!$G$45,IF(Q26="sieć ciepłownicza",0,IF(Q26="prąd",0,0)))))))</f>
        <v>0</v>
      </c>
      <c r="AK26" s="568">
        <f>IF(Q26="węgiel",T26*'Założenia,wskaźniki, listy'!$C$46,IF(Q26="gaz",T26*'Założenia,wskaźniki, listy'!$D$46,IF(Q26="drewno",T26*'Założenia,wskaźniki, listy'!$E$46,IF(Q26="pelet",T26*'Założenia,wskaźniki, listy'!$F$46,IF(Q26="olej opałowy",T26*'Założenia,wskaźniki, listy'!$G$46,IF(Q26="sieć ciepłownicza",0,IF(Q26="prąd",0,0)))))))</f>
        <v>0</v>
      </c>
      <c r="AL26" s="568">
        <f>IF(Q26="węgiel",T26*'Założenia,wskaźniki, listy'!$C$47,IF(Q26="gaz",T26*'Założenia,wskaźniki, listy'!$D$47,IF(Q26="drewno",T26*'Założenia,wskaźniki, listy'!$E$47,IF(Q26="pelet",T26*'Założenia,wskaźniki, listy'!$F$47,IF(Q26="olej opałowy",T26*'Założenia,wskaźniki, listy'!$G$47,IF(Q26="sieć ciepłownicza",0,IF(Q26="prąd",0,0)))))))</f>
        <v>0</v>
      </c>
      <c r="AM26" s="568">
        <f>IF(Q26="węgiel",T26*'Założenia,wskaźniki, listy'!$C$48,IF(Q26="gaz",T26*'Założenia,wskaźniki, listy'!$D$48,IF(Q26="drewno",T26*'Założenia,wskaźniki, listy'!$E$48,IF(Q26="pelet",T26*'Założenia,wskaźniki, listy'!$F$48,IF(Q26="olej opałowy",T26*'Założenia,wskaźniki, listy'!$G$48,IF(Q26="sieć ciepłownicza",0,IF(Q26="prąd",0,0)))))))</f>
        <v>0</v>
      </c>
      <c r="AN26" s="568">
        <f>IF(Q26="węgiel",T26*'Założenia,wskaźniki, listy'!$C$49,IF(Q26="gaz",T26*'Założenia,wskaźniki, listy'!$D$49,IF(Q26="drewno",T26*'Założenia,wskaźniki, listy'!$E$49,IF(Q26="pelet",T26*'Założenia,wskaźniki, listy'!$F$49,IF(Q26="olej opałowy",T26*'Założenia,wskaźniki, listy'!$G$49,IF(Q26="sieć ciepłownicza",0,IF(Q26="prąd",0,0)))))))</f>
        <v>0</v>
      </c>
      <c r="AO26" s="568">
        <f>IF(Q26="węgiel",T26*'Założenia,wskaźniki, listy'!$C$50,IF(Q26="gaz",T26*'Założenia,wskaźniki, listy'!$D$50,IF(Q26="drewno",T26*'Założenia,wskaźniki, listy'!$E$50,IF(Q26="pelet",T26*'Założenia,wskaźniki, listy'!$F$50,IF(Q26="olej opałowy",T26*'Założenia,wskaźniki, listy'!$G$50,IF(Q26="sieć ciepłownicza",0,IF(Q26="prąd",0,0)))))))</f>
        <v>0</v>
      </c>
      <c r="AP26" s="568">
        <v>18</v>
      </c>
      <c r="AQ26" s="575">
        <v>9</v>
      </c>
      <c r="AR26" s="594">
        <f t="shared" si="3"/>
        <v>9.5760000000000012E-2</v>
      </c>
      <c r="AS26" s="594">
        <f t="shared" si="4"/>
        <v>9.5760000000000012E-2</v>
      </c>
      <c r="AT26" s="568">
        <f>IF(P26="energia el.",(IF(O26&gt;=50,AD26,W26)+AP26*Z!$J$46),(IF(O26&gt;=50,AD26,W26)+AP26*Z!$J$46))</f>
        <v>14.967000000000001</v>
      </c>
      <c r="AU26" s="568">
        <f t="shared" si="5"/>
        <v>6.3E-5</v>
      </c>
      <c r="AV26" s="568">
        <f t="shared" si="6"/>
        <v>2.5200000000000004E-2</v>
      </c>
      <c r="AW26" s="568">
        <f t="shared" si="7"/>
        <v>2.5200000000000004E-2</v>
      </c>
      <c r="AX26" s="568">
        <f t="shared" si="8"/>
        <v>0.22604399999999999</v>
      </c>
      <c r="AY26" s="88" t="s">
        <v>88</v>
      </c>
      <c r="AZ26" s="567"/>
      <c r="BA26" s="564"/>
      <c r="BB26" s="567" t="s">
        <v>109</v>
      </c>
      <c r="BC26" s="567" t="s">
        <v>3</v>
      </c>
      <c r="BD26" s="567">
        <v>2019</v>
      </c>
      <c r="BE26" s="567" t="s">
        <v>109</v>
      </c>
      <c r="BF26" s="567" t="s">
        <v>88</v>
      </c>
      <c r="BG26" s="567">
        <v>2019</v>
      </c>
      <c r="BH26" s="567"/>
      <c r="BI26" s="308" t="b">
        <f t="shared" si="9"/>
        <v>0</v>
      </c>
      <c r="BJ26" s="308">
        <f t="shared" si="10"/>
        <v>1260</v>
      </c>
      <c r="BK26" s="319" t="b">
        <f t="shared" si="11"/>
        <v>0</v>
      </c>
      <c r="BL26" s="319" t="b">
        <f t="shared" si="12"/>
        <v>0</v>
      </c>
      <c r="BM26" s="319" t="b">
        <f t="shared" si="13"/>
        <v>0</v>
      </c>
      <c r="BN26" s="319" t="b">
        <f t="shared" si="14"/>
        <v>0</v>
      </c>
      <c r="BO26" s="319" t="b">
        <f t="shared" si="15"/>
        <v>0</v>
      </c>
      <c r="BP26" s="319" t="b">
        <f t="shared" si="16"/>
        <v>0</v>
      </c>
      <c r="BQ26" s="319" t="b">
        <f t="shared" si="17"/>
        <v>0</v>
      </c>
      <c r="BR26" s="319" t="b">
        <f t="shared" si="18"/>
        <v>0</v>
      </c>
      <c r="BS26" s="319">
        <f t="shared" si="19"/>
        <v>2127.81</v>
      </c>
      <c r="BT26" s="319" t="b">
        <f t="shared" si="20"/>
        <v>0</v>
      </c>
      <c r="BU26" s="319" t="b">
        <f t="shared" si="21"/>
        <v>0</v>
      </c>
      <c r="BV26" s="319" t="b">
        <f t="shared" si="22"/>
        <v>0</v>
      </c>
      <c r="BW26" s="319" t="b">
        <f t="shared" si="23"/>
        <v>0</v>
      </c>
      <c r="BX26" s="319">
        <f t="shared" si="24"/>
        <v>1260</v>
      </c>
      <c r="BY26" s="319" t="b">
        <f t="shared" si="25"/>
        <v>0</v>
      </c>
      <c r="BZ26" s="319" t="b">
        <f t="shared" si="26"/>
        <v>0</v>
      </c>
      <c r="CA26" s="319" t="b">
        <f t="shared" si="27"/>
        <v>0</v>
      </c>
      <c r="CB26" s="319" t="b">
        <f t="shared" si="28"/>
        <v>0</v>
      </c>
      <c r="CC26" s="319" t="b">
        <f t="shared" si="29"/>
        <v>0</v>
      </c>
      <c r="CD26" s="319" t="b">
        <f t="shared" si="30"/>
        <v>0</v>
      </c>
      <c r="CE26" s="319" t="b">
        <f t="shared" si="31"/>
        <v>0</v>
      </c>
      <c r="CF26" s="319" t="b">
        <f t="shared" si="32"/>
        <v>0</v>
      </c>
    </row>
    <row r="27" spans="1:84" ht="13.2">
      <c r="A27" s="870">
        <v>19</v>
      </c>
      <c r="B27" s="566">
        <f>SUM($C$5:C27)</f>
        <v>19</v>
      </c>
      <c r="C27" s="503">
        <f t="shared" si="166"/>
        <v>1</v>
      </c>
      <c r="D27" s="846" t="s">
        <v>407</v>
      </c>
      <c r="E27" s="847" t="s">
        <v>609</v>
      </c>
      <c r="F27" s="847"/>
      <c r="G27" s="847">
        <v>250</v>
      </c>
      <c r="H27" s="88">
        <v>60</v>
      </c>
      <c r="I27" s="88"/>
      <c r="J27" s="88">
        <f>IF(F27&lt;=1966,'Założenia,wskaźniki, listy'!$H$4,IF(F27&gt;1966,IF(F27&lt;=1985,'Założenia,wskaźniki, listy'!$H$5,IF(F27&gt;1985,IF(F27&lt;=1992,'Założenia,wskaźniki, listy'!$H$6,IF(F27&gt;1992,IF(F27&lt;=1996,'Założenia,wskaźniki, listy'!$H$7,IF(F27&gt;1996,IF(F27&lt;=2013,'Założenia,wskaźniki, listy'!$H$8)))))))))</f>
        <v>290</v>
      </c>
      <c r="K27" s="864" t="s">
        <v>32</v>
      </c>
      <c r="L27" s="88" t="s">
        <v>8</v>
      </c>
      <c r="M27" s="88">
        <v>5</v>
      </c>
      <c r="N27" s="567">
        <v>2001</v>
      </c>
      <c r="O27" s="567" t="s">
        <v>610</v>
      </c>
      <c r="P27" s="88" t="s">
        <v>313</v>
      </c>
      <c r="Q27" s="480">
        <f t="shared" si="2"/>
        <v>146.90304162500001</v>
      </c>
      <c r="R27" s="249">
        <f>IF(K27="kompletna",J27*G27*0.0036*'Założenia,wskaźniki, listy'!$C$15,IF(K27="częściowa",J27*G27*0.0036*'Założenia,wskaźniki, listy'!$C$16,IF(K27="brak",J27*G27*0.0036*'Założenia,wskaźniki, listy'!$C$17,0)))</f>
        <v>156.6</v>
      </c>
      <c r="S27" s="249">
        <f>H27*'Założenia,wskaźniki, listy'!$L$16</f>
        <v>24.156083250000002</v>
      </c>
      <c r="T27" s="249">
        <f>IF(L27="węgiel",M27*'Założenia,wskaźniki, listy'!$B$4,IF(L27="gaz",M27*'Założenia,wskaźniki, listy'!$B$5,IF(L27="drewno",M27*'Założenia,wskaźniki, listy'!$B$6,IF(L27="pelet",M27*'Założenia,wskaźniki, listy'!$B$7,IF(L27="olej opałowy",M27*'Założenia,wskaźniki, listy'!$B$8,IF(L27="sieć ciepłownicza",0,0))))))</f>
        <v>113.05</v>
      </c>
      <c r="U27" s="568">
        <f>IF(L27="węgiel",T27*'Założenia,wskaźniki, listy'!$C$44,IF(L27="gaz",T27*'Założenia,wskaźniki, listy'!$D$44,IF(L27="drewno",T27*'Założenia,wskaźniki, listy'!$E$44,IF(L27="pelet",T27*'Założenia,wskaźniki, listy'!$F$44,IF(L27="olej opałowy",T27*'Założenia,wskaźniki, listy'!$G$44,IF(L27="sieć ciepłownicza",0,IF(L27="prąd",0,0)))))))</f>
        <v>2.5436249999999997E-2</v>
      </c>
      <c r="V27" s="568">
        <f>IF(L27="węgiel",T27*'Założenia,wskaźniki, listy'!$C$45,IF(L27="gaz",T27*'Założenia,wskaźniki, listy'!$D$45,IF(L27="drewno",T27*'Założenia,wskaźniki, listy'!$E$45,IF(L27="pelet",T27*'Założenia,wskaźniki, listy'!$F$45,IF(L27="olej opałowy",T27*'Założenia,wskaźniki, listy'!$G$45,IF(L27="sieć ciepłownicza",0,IF(L27="prąd",0,0)))))))</f>
        <v>2.2723050000000002E-2</v>
      </c>
      <c r="W27" s="568">
        <f>IF(L27="węgiel",T27*'Założenia,wskaźniki, listy'!$C$46,IF(L27="gaz",T27*'Założenia,wskaźniki, listy'!$D$46,IF(L27="drewno",T27*'Założenia,wskaźniki, listy'!$E$46,IF(L27="pelet",T27*'Założenia,wskaźniki, listy'!$F$46,IF(L27="olej opałowy",T27*'Założenia,wskaźniki, listy'!$G$46,IF(L27="sieć ciepłownicza",0,IF(L27="prąd",0,0)))))))</f>
        <v>10.597306999999999</v>
      </c>
      <c r="X27" s="568">
        <f>IF(L27="węgiel",T27*'Założenia,wskaźniki, listy'!$C$47,IF(L27="gaz",T27*'Założenia,wskaźniki, listy'!$D$47,IF(L27="drewno",T27*'Założenia,wskaźniki, listy'!$E$47,IF(L27="pelet",T27*'Założenia,wskaźniki, listy'!$F$47,IF(L27="olej opałowy",T27*'Założenia,wskaźniki, listy'!$G$47,IF(L27="sieć ciepłownicza",0,IF(L27="prąd",0,0)))))))</f>
        <v>3.05235E-5</v>
      </c>
      <c r="Y27" s="568">
        <f>IF(L27="węgiel",T27*'Założenia,wskaźniki, listy'!$C$48,IF(L27="gaz",T27*'Założenia,wskaźniki, listy'!$D$48,IF(L27="drewno",T27*'Założenia,wskaźniki, listy'!$E$48,IF(L27="pelet",T27*'Założenia,wskaźniki, listy'!$F$48,IF(L27="olej opałowy",T27*'Założenia,wskaźniki, listy'!$G$48,IF(L27="sieć ciepłownicza",0,IF(L27="prąd",0,0)))))))</f>
        <v>0.10174499999999999</v>
      </c>
      <c r="Z27" s="568">
        <f>IF(L27="węgiel",T27*'Założenia,wskaźniki, listy'!$C$49,IF(L27="gaz",T27*'Założenia,wskaźniki, listy'!$D$49,IF(L27="drewno",T27*'Założenia,wskaźniki, listy'!$E$49,IF(L27="pelet",T27*'Założenia,wskaźniki, listy'!$F$49,IF(L27="olej opałowy",T27*'Założenia,wskaźniki, listy'!$G$49,IF(L27="sieć ciepłownicza",0,IF(L27="prąd",0,0)))))))</f>
        <v>1.78619E-2</v>
      </c>
      <c r="AA27" s="568">
        <f>IF(L27="węgiel",T27*'Założenia,wskaźniki, listy'!$C$50,IF(L27="gaz",T27*'Założenia,wskaźniki, listy'!$D$50,IF(L27="drewno",T27*'Założenia,wskaźniki, listy'!$E$50,IF(L27="pelet",T27*'Założenia,wskaźniki, listy'!$F$50,IF(L27="olej opałowy",T27*'Założenia,wskaźniki, listy'!$G$50,IF(L27="sieć ciepłownicza",0,IF(L27="prąd",0,0)))))))</f>
        <v>0.22741394725078226</v>
      </c>
      <c r="AB27" s="568">
        <f>IF(L27="węgiel",T27*Z!$C$44,IF(L27="gaz",T27*Z!$D$44,IF(L27="drewno",T27*Z!$E$44,IF(L27="pelet",T27*Z!$F$44,IF(L27="olej opałowy",T27*Z!$G$44,IF(L27="sieć ciepłownicza",0,IF(L27="prąd",0,0)))))))</f>
        <v>2.1479500000000002E-2</v>
      </c>
      <c r="AC27" s="568">
        <f>IF(L27="węgiel",T27*Z!$C$45,IF(L27="gaz",T27*Z!$D$45,IF(L27="drewno",T27*Z!$E$45,IF(L27="pelet",T27*Z!$F$45,IF(L27="olej opałowy",T27*Z!$G$45,IF(L27="sieć ciepłownicza",0,IF(L27="prąd",0,0)))))))</f>
        <v>1.9218499999999999E-2</v>
      </c>
      <c r="AD27" s="568">
        <f>IF(L27="węgiel",T27*Z!$C$46,IF(L27="gaz",T27*Z!$D$46,IF(L27="drewno",T27*Z!$E$46,IF(L27="pelet",T27*Z!$F$46,IF(L27="olej opałowy",T27*Z!$G$46,IF(L27="sieć ciepłownicza",0,IF(L27="prąd",0,0)))))))</f>
        <v>10.597306999999999</v>
      </c>
      <c r="AE27" s="568">
        <f>IF(L27="węgiel",T27*Z!$C$47,IF(L27="gaz",T27*Z!$D$47,IF(L27="drewno",T27*Z!$E$47,IF(L27="pelet",T27*Z!$F$47,IF(L27="olej opałowy",T27*Z!$G$47,IF(L27="sieć ciepłownicza",0,IF(L27="prąd",0,0)))))))</f>
        <v>1.1304999999999999E-5</v>
      </c>
      <c r="AF27" s="568">
        <f>IF(L27="węgiel",T27*Z!$C$48,IF(L27="gaz",T27*Z!$D$48,IF(L27="drewno",T27*Z!$E$48,IF(L27="pelet",T27*Z!$F$48,IF(L27="olej opałowy",T27*Z!$G$48,IF(L27="sieć ciepłownicza",0,IF(L27="prąd",0,0)))))))</f>
        <v>0.10174499999999999</v>
      </c>
      <c r="AG27" s="568">
        <f>IF(L27="węgiel",T27*Z!$C$49,IF(L27="gaz",T27*Z!$D$49,IF(L27="drewno",T27*Z!$E$49,IF(L27="pelet",T27*Z!$F$49,IF(L27="olej opałowy",T27*Z!$G$49,IF(L27="sieć ciepłownicza",0,IF(L27="prąd",0,0)))))))</f>
        <v>1.8088E-2</v>
      </c>
      <c r="AH27" s="568">
        <f>IF(L27="węgiel",T27*Z!$C$50,IF(L27="gaz",T27*Z!$D$50,IF(L27="drewno",T27*Z!$E$50,IF(L27="pelet",T27*Z!$F$50,IF(L27="olej opałowy",T27*Z!$G$50,IF(L27="sieć ciepłownicza",0,IF(L27="prąd",0,0)))))))</f>
        <v>0.22741394725078226</v>
      </c>
      <c r="AI27" s="568">
        <f>IF(P27="węgiel",S27*'Założenia,wskaźniki, listy'!$C$44,IF(P27="gaz",S27*'Założenia,wskaźniki, listy'!$D$44,IF(P27="drewno",S27*'Założenia,wskaźniki, listy'!$E$44,IF(P27="pelet",S27*'Założenia,wskaźniki, listy'!$F$44,IF(P27="olej opałowy",S27*'Założenia,wskaźniki, listy'!$G$44,IF(P27="sieć ciepłownicza",0,IF(P27="prąd",0,0)))))))</f>
        <v>0</v>
      </c>
      <c r="AJ27" s="568">
        <f>IF(Q27="węgiel",T27*'Założenia,wskaźniki, listy'!$C$45,IF(Q27="gaz",T27*'Założenia,wskaźniki, listy'!$D$45,IF(Q27="drewno",T27*'Założenia,wskaźniki, listy'!$E$45,IF(Q27="pelet",T27*'Założenia,wskaźniki, listy'!$F$45,IF(Q27="olej opałowy",T27*'Założenia,wskaźniki, listy'!$G$45,IF(Q27="sieć ciepłownicza",0,IF(Q27="prąd",0,0)))))))</f>
        <v>0</v>
      </c>
      <c r="AK27" s="568">
        <f>IF(Q27="węgiel",T27*'Założenia,wskaźniki, listy'!$C$46,IF(Q27="gaz",T27*'Założenia,wskaźniki, listy'!$D$46,IF(Q27="drewno",T27*'Założenia,wskaźniki, listy'!$E$46,IF(Q27="pelet",T27*'Założenia,wskaźniki, listy'!$F$46,IF(Q27="olej opałowy",T27*'Założenia,wskaźniki, listy'!$G$46,IF(Q27="sieć ciepłownicza",0,IF(Q27="prąd",0,0)))))))</f>
        <v>0</v>
      </c>
      <c r="AL27" s="568">
        <f>IF(Q27="węgiel",T27*'Założenia,wskaźniki, listy'!$C$47,IF(Q27="gaz",T27*'Założenia,wskaźniki, listy'!$D$47,IF(Q27="drewno",T27*'Założenia,wskaźniki, listy'!$E$47,IF(Q27="pelet",T27*'Założenia,wskaźniki, listy'!$F$47,IF(Q27="olej opałowy",T27*'Założenia,wskaźniki, listy'!$G$47,IF(Q27="sieć ciepłownicza",0,IF(Q27="prąd",0,0)))))))</f>
        <v>0</v>
      </c>
      <c r="AM27" s="568">
        <f>IF(Q27="węgiel",T27*'Założenia,wskaźniki, listy'!$C$48,IF(Q27="gaz",T27*'Założenia,wskaźniki, listy'!$D$48,IF(Q27="drewno",T27*'Założenia,wskaźniki, listy'!$E$48,IF(Q27="pelet",T27*'Założenia,wskaźniki, listy'!$F$48,IF(Q27="olej opałowy",T27*'Założenia,wskaźniki, listy'!$G$48,IF(Q27="sieć ciepłownicza",0,IF(Q27="prąd",0,0)))))))</f>
        <v>0</v>
      </c>
      <c r="AN27" s="568">
        <f>IF(Q27="węgiel",T27*'Założenia,wskaźniki, listy'!$C$49,IF(Q27="gaz",T27*'Założenia,wskaźniki, listy'!$D$49,IF(Q27="drewno",T27*'Założenia,wskaźniki, listy'!$E$49,IF(Q27="pelet",T27*'Założenia,wskaźniki, listy'!$F$49,IF(Q27="olej opałowy",T27*'Założenia,wskaźniki, listy'!$G$49,IF(Q27="sieć ciepłownicza",0,IF(Q27="prąd",0,0)))))))</f>
        <v>0</v>
      </c>
      <c r="AO27" s="568">
        <f>IF(Q27="węgiel",T27*'Założenia,wskaźniki, listy'!$C$50,IF(Q27="gaz",T27*'Założenia,wskaźniki, listy'!$D$50,IF(Q27="drewno",T27*'Założenia,wskaźniki, listy'!$E$50,IF(Q27="pelet",T27*'Założenia,wskaźniki, listy'!$F$50,IF(Q27="olej opałowy",T27*'Założenia,wskaźniki, listy'!$G$50,IF(Q27="sieć ciepłownicza",0,IF(Q27="prąd",0,0)))))))</f>
        <v>0</v>
      </c>
      <c r="AP27" s="568">
        <v>2.1800000000000002</v>
      </c>
      <c r="AQ27" s="575">
        <v>1</v>
      </c>
      <c r="AR27" s="594">
        <f t="shared" si="3"/>
        <v>2.1479500000000002E-2</v>
      </c>
      <c r="AS27" s="594">
        <f t="shared" si="4"/>
        <v>1.9218499999999999E-2</v>
      </c>
      <c r="AT27" s="568">
        <f>IF(P27="energia el.",(IF(O27&gt;=50,AD27,W27)+AP27*Z!$J$46),(IF(O27&gt;=50,AD27,W27)+AP27*Z!$J$46))</f>
        <v>12.409977</v>
      </c>
      <c r="AU27" s="568">
        <f t="shared" si="5"/>
        <v>1.1304999999999999E-5</v>
      </c>
      <c r="AV27" s="568">
        <f t="shared" si="6"/>
        <v>0.10174499999999999</v>
      </c>
      <c r="AW27" s="568">
        <f t="shared" si="7"/>
        <v>1.8088E-2</v>
      </c>
      <c r="AX27" s="568">
        <f t="shared" si="8"/>
        <v>0.22741394725078226</v>
      </c>
      <c r="AY27" s="88" t="s">
        <v>88</v>
      </c>
      <c r="AZ27" s="567"/>
      <c r="BA27" s="564"/>
      <c r="BB27" s="567" t="s">
        <v>109</v>
      </c>
      <c r="BC27" s="567" t="s">
        <v>262</v>
      </c>
      <c r="BD27" s="567" t="s">
        <v>611</v>
      </c>
      <c r="BE27" s="567" t="s">
        <v>88</v>
      </c>
      <c r="BF27" s="567"/>
      <c r="BG27" s="567"/>
      <c r="BH27" s="567"/>
      <c r="BI27" s="308" t="b">
        <f t="shared" si="9"/>
        <v>0</v>
      </c>
      <c r="BJ27" s="308">
        <f t="shared" si="10"/>
        <v>113.05</v>
      </c>
      <c r="BK27" s="319">
        <f t="shared" si="11"/>
        <v>250</v>
      </c>
      <c r="BL27" s="319">
        <f t="shared" si="12"/>
        <v>250</v>
      </c>
      <c r="BM27" s="319" t="b">
        <f t="shared" si="13"/>
        <v>0</v>
      </c>
      <c r="BN27" s="319" t="b">
        <f t="shared" si="14"/>
        <v>0</v>
      </c>
      <c r="BO27" s="319" t="b">
        <f t="shared" si="15"/>
        <v>0</v>
      </c>
      <c r="BP27" s="319" t="b">
        <f t="shared" si="16"/>
        <v>0</v>
      </c>
      <c r="BQ27" s="319" t="b">
        <f t="shared" si="17"/>
        <v>0</v>
      </c>
      <c r="BR27" s="319" t="b">
        <f t="shared" si="18"/>
        <v>0</v>
      </c>
      <c r="BS27" s="319" t="b">
        <f t="shared" si="19"/>
        <v>0</v>
      </c>
      <c r="BT27" s="319" t="b">
        <f t="shared" si="20"/>
        <v>0</v>
      </c>
      <c r="BU27" s="319">
        <f t="shared" si="21"/>
        <v>113.05</v>
      </c>
      <c r="BV27" s="319" t="b">
        <f t="shared" si="22"/>
        <v>0</v>
      </c>
      <c r="BW27" s="319" t="b">
        <f t="shared" si="23"/>
        <v>0</v>
      </c>
      <c r="BX27" s="319" t="b">
        <f t="shared" si="24"/>
        <v>0</v>
      </c>
      <c r="BY27" s="319" t="b">
        <f t="shared" si="25"/>
        <v>0</v>
      </c>
      <c r="BZ27" s="319" t="b">
        <f t="shared" si="26"/>
        <v>0</v>
      </c>
      <c r="CA27" s="319" t="b">
        <f t="shared" si="27"/>
        <v>0</v>
      </c>
      <c r="CB27" s="319" t="b">
        <f t="shared" si="28"/>
        <v>0</v>
      </c>
      <c r="CC27" s="319" t="b">
        <f t="shared" si="29"/>
        <v>0</v>
      </c>
      <c r="CD27" s="319" t="b">
        <f t="shared" si="30"/>
        <v>0</v>
      </c>
      <c r="CE27" s="319" t="b">
        <f t="shared" si="31"/>
        <v>0</v>
      </c>
      <c r="CF27" s="319">
        <f t="shared" si="32"/>
        <v>24.156083250000002</v>
      </c>
    </row>
    <row r="28" spans="1:84" ht="13.2">
      <c r="A28" s="995">
        <v>20</v>
      </c>
      <c r="B28" s="566">
        <f>SUM($C$5:C28)</f>
        <v>20</v>
      </c>
      <c r="C28" s="503">
        <f t="shared" si="166"/>
        <v>1</v>
      </c>
      <c r="D28" s="997" t="s">
        <v>613</v>
      </c>
      <c r="E28" s="847" t="s">
        <v>614</v>
      </c>
      <c r="F28" s="847">
        <v>1971</v>
      </c>
      <c r="G28" s="847">
        <v>177</v>
      </c>
      <c r="H28" s="88"/>
      <c r="I28" s="88"/>
      <c r="J28" s="88">
        <f>IF(F28&lt;=1966,'Założenia,wskaźniki, listy'!$H$4,IF(F28&gt;1966,IF(F28&lt;=1985,'Założenia,wskaźniki, listy'!$H$5,IF(F28&gt;1985,IF(F28&lt;=1992,'Założenia,wskaźniki, listy'!$H$6,IF(F28&gt;1992,IF(F28&lt;=1996,'Założenia,wskaźniki, listy'!$H$7,IF(F28&gt;1996,IF(F28&lt;=2013,'Założenia,wskaźniki, listy'!$H$8)))))))))</f>
        <v>250</v>
      </c>
      <c r="K28" s="864" t="s">
        <v>31</v>
      </c>
      <c r="L28" s="88"/>
      <c r="M28" s="88"/>
      <c r="N28" s="567" t="s">
        <v>615</v>
      </c>
      <c r="O28" s="567"/>
      <c r="P28" s="88"/>
      <c r="Q28" s="480">
        <f t="shared" si="2"/>
        <v>0</v>
      </c>
      <c r="R28" s="249">
        <v>0</v>
      </c>
      <c r="S28" s="249">
        <f>H28*'Założenia,wskaźniki, listy'!$L$16</f>
        <v>0</v>
      </c>
      <c r="T28" s="249">
        <f>IF(L28="węgiel",M28*'Założenia,wskaźniki, listy'!$B$4,IF(L28="gaz",M28*'Założenia,wskaźniki, listy'!$B$5,IF(L28="drewno",M28*'Założenia,wskaźniki, listy'!$B$6,IF(L28="pelet",M28*'Założenia,wskaźniki, listy'!$B$7,IF(L28="olej opałowy",M28*'Założenia,wskaźniki, listy'!$B$8,IF(L28="sieć ciepłownicza",0,0))))))</f>
        <v>0</v>
      </c>
      <c r="U28" s="568">
        <f>IF(L28="węgiel",T28*'Założenia,wskaźniki, listy'!$C$44,IF(L28="gaz",T28*'Założenia,wskaźniki, listy'!$D$44,IF(L28="drewno",T28*'Założenia,wskaźniki, listy'!$E$44,IF(L28="pelet",T28*'Założenia,wskaźniki, listy'!$F$44,IF(L28="olej opałowy",T28*'Założenia,wskaźniki, listy'!$G$44,IF(L28="sieć ciepłownicza",0,IF(L28="prąd",0,0)))))))</f>
        <v>0</v>
      </c>
      <c r="V28" s="568">
        <f>IF(L28="węgiel",T28*'Założenia,wskaźniki, listy'!$C$45,IF(L28="gaz",T28*'Założenia,wskaźniki, listy'!$D$45,IF(L28="drewno",T28*'Założenia,wskaźniki, listy'!$E$45,IF(L28="pelet",T28*'Założenia,wskaźniki, listy'!$F$45,IF(L28="olej opałowy",T28*'Założenia,wskaźniki, listy'!$G$45,IF(L28="sieć ciepłownicza",0,IF(L28="prąd",0,0)))))))</f>
        <v>0</v>
      </c>
      <c r="W28" s="568">
        <f>IF(L28="węgiel",T28*'Założenia,wskaźniki, listy'!$C$46,IF(L28="gaz",T28*'Założenia,wskaźniki, listy'!$D$46,IF(L28="drewno",T28*'Założenia,wskaźniki, listy'!$E$46,IF(L28="pelet",T28*'Założenia,wskaźniki, listy'!$F$46,IF(L28="olej opałowy",T28*'Założenia,wskaźniki, listy'!$G$46,IF(L28="sieć ciepłownicza",0,IF(L28="prąd",0,0)))))))</f>
        <v>0</v>
      </c>
      <c r="X28" s="568">
        <f>IF(L28="węgiel",T28*'Założenia,wskaźniki, listy'!$C$47,IF(L28="gaz",T28*'Założenia,wskaźniki, listy'!$D$47,IF(L28="drewno",T28*'Założenia,wskaźniki, listy'!$E$47,IF(L28="pelet",T28*'Założenia,wskaźniki, listy'!$F$47,IF(L28="olej opałowy",T28*'Założenia,wskaźniki, listy'!$G$47,IF(L28="sieć ciepłownicza",0,IF(L28="prąd",0,0)))))))</f>
        <v>0</v>
      </c>
      <c r="Y28" s="568">
        <f>IF(L28="węgiel",T28*'Założenia,wskaźniki, listy'!$C$48,IF(L28="gaz",T28*'Założenia,wskaźniki, listy'!$D$48,IF(L28="drewno",T28*'Założenia,wskaźniki, listy'!$E$48,IF(L28="pelet",T28*'Założenia,wskaźniki, listy'!$F$48,IF(L28="olej opałowy",T28*'Założenia,wskaźniki, listy'!$G$48,IF(L28="sieć ciepłownicza",0,IF(L28="prąd",0,0)))))))</f>
        <v>0</v>
      </c>
      <c r="Z28" s="568">
        <f>IF(L28="węgiel",T28*'Założenia,wskaźniki, listy'!$C$49,IF(L28="gaz",T28*'Założenia,wskaźniki, listy'!$D$49,IF(L28="drewno",T28*'Założenia,wskaźniki, listy'!$E$49,IF(L28="pelet",T28*'Założenia,wskaźniki, listy'!$F$49,IF(L28="olej opałowy",T28*'Założenia,wskaźniki, listy'!$G$49,IF(L28="sieć ciepłownicza",0,IF(L28="prąd",0,0)))))))</f>
        <v>0</v>
      </c>
      <c r="AA28" s="568">
        <f>IF(L28="węgiel",T28*'Założenia,wskaźniki, listy'!$C$50,IF(L28="gaz",T28*'Założenia,wskaźniki, listy'!$D$50,IF(L28="drewno",T28*'Założenia,wskaźniki, listy'!$E$50,IF(L28="pelet",T28*'Założenia,wskaźniki, listy'!$F$50,IF(L28="olej opałowy",T28*'Założenia,wskaźniki, listy'!$G$50,IF(L28="sieć ciepłownicza",0,IF(L28="prąd",0,0)))))))</f>
        <v>0</v>
      </c>
      <c r="AB28" s="568">
        <f>IF(L28="węgiel",T28*Z!$C$44,IF(L28="gaz",T28*Z!$D$44,IF(L28="drewno",T28*Z!$E$44,IF(L28="pelet",T28*Z!$F$44,IF(L28="olej opałowy",T28*Z!$G$44,IF(L28="sieć ciepłownicza",0,IF(L28="prąd",0,0)))))))</f>
        <v>0</v>
      </c>
      <c r="AC28" s="568">
        <f>IF(L28="węgiel",T28*Z!$C$45,IF(L28="gaz",T28*Z!$D$45,IF(L28="drewno",T28*Z!$E$45,IF(L28="pelet",T28*Z!$F$45,IF(L28="olej opałowy",T28*Z!$G$45,IF(L28="sieć ciepłownicza",0,IF(L28="prąd",0,0)))))))</f>
        <v>0</v>
      </c>
      <c r="AD28" s="568">
        <f>IF(L28="węgiel",T28*Z!$C$46,IF(L28="gaz",T28*Z!$D$46,IF(L28="drewno",T28*Z!$E$46,IF(L28="pelet",T28*Z!$F$46,IF(L28="olej opałowy",T28*Z!$G$46,IF(L28="sieć ciepłownicza",0,IF(L28="prąd",0,0)))))))</f>
        <v>0</v>
      </c>
      <c r="AE28" s="568">
        <f>IF(L28="węgiel",T28*Z!$C$47,IF(L28="gaz",T28*Z!$D$47,IF(L28="drewno",T28*Z!$E$47,IF(L28="pelet",T28*Z!$F$47,IF(L28="olej opałowy",T28*Z!$G$47,IF(L28="sieć ciepłownicza",0,IF(L28="prąd",0,0)))))))</f>
        <v>0</v>
      </c>
      <c r="AF28" s="568">
        <f>IF(L28="węgiel",T28*Z!$C$48,IF(L28="gaz",T28*Z!$D$48,IF(L28="drewno",T28*Z!$E$48,IF(L28="pelet",T28*Z!$F$48,IF(L28="olej opałowy",T28*Z!$G$48,IF(L28="sieć ciepłownicza",0,IF(L28="prąd",0,0)))))))</f>
        <v>0</v>
      </c>
      <c r="AG28" s="568">
        <f>IF(L28="węgiel",T28*Z!$C$49,IF(L28="gaz",T28*Z!$D$49,IF(L28="drewno",T28*Z!$E$49,IF(L28="pelet",T28*Z!$F$49,IF(L28="olej opałowy",T28*Z!$G$49,IF(L28="sieć ciepłownicza",0,IF(L28="prąd",0,0)))))))</f>
        <v>0</v>
      </c>
      <c r="AH28" s="568">
        <f>IF(L28="węgiel",T28*Z!$C$50,IF(L28="gaz",T28*Z!$D$50,IF(L28="drewno",T28*Z!$E$50,IF(L28="pelet",T28*Z!$F$50,IF(L28="olej opałowy",T28*Z!$G$50,IF(L28="sieć ciepłownicza",0,IF(L28="prąd",0,0)))))))</f>
        <v>0</v>
      </c>
      <c r="AI28" s="568">
        <f>IF(P28="węgiel",S28*'Założenia,wskaźniki, listy'!$C$44,IF(P28="gaz",S28*'Założenia,wskaźniki, listy'!$D$44,IF(P28="drewno",S28*'Założenia,wskaźniki, listy'!$E$44,IF(P28="pelet",S28*'Założenia,wskaźniki, listy'!$F$44,IF(P28="olej opałowy",S28*'Założenia,wskaźniki, listy'!$G$44,IF(P28="sieć ciepłownicza",0,IF(P28="prąd",0,0)))))))</f>
        <v>0</v>
      </c>
      <c r="AJ28" s="568">
        <f>IF(Q28="węgiel",T28*'Założenia,wskaźniki, listy'!$C$45,IF(Q28="gaz",T28*'Założenia,wskaźniki, listy'!$D$45,IF(Q28="drewno",T28*'Założenia,wskaźniki, listy'!$E$45,IF(Q28="pelet",T28*'Założenia,wskaźniki, listy'!$F$45,IF(Q28="olej opałowy",T28*'Założenia,wskaźniki, listy'!$G$45,IF(Q28="sieć ciepłownicza",0,IF(Q28="prąd",0,0)))))))</f>
        <v>0</v>
      </c>
      <c r="AK28" s="568">
        <f>IF(Q28="węgiel",T28*'Założenia,wskaźniki, listy'!$C$46,IF(Q28="gaz",T28*'Założenia,wskaźniki, listy'!$D$46,IF(Q28="drewno",T28*'Założenia,wskaźniki, listy'!$E$46,IF(Q28="pelet",T28*'Założenia,wskaźniki, listy'!$F$46,IF(Q28="olej opałowy",T28*'Założenia,wskaźniki, listy'!$G$46,IF(Q28="sieć ciepłownicza",0,IF(Q28="prąd",0,0)))))))</f>
        <v>0</v>
      </c>
      <c r="AL28" s="568">
        <f>IF(Q28="węgiel",T28*'Założenia,wskaźniki, listy'!$C$47,IF(Q28="gaz",T28*'Założenia,wskaźniki, listy'!$D$47,IF(Q28="drewno",T28*'Założenia,wskaźniki, listy'!$E$47,IF(Q28="pelet",T28*'Założenia,wskaźniki, listy'!$F$47,IF(Q28="olej opałowy",T28*'Założenia,wskaźniki, listy'!$G$47,IF(Q28="sieć ciepłownicza",0,IF(Q28="prąd",0,0)))))))</f>
        <v>0</v>
      </c>
      <c r="AM28" s="568">
        <f>IF(Q28="węgiel",T28*'Założenia,wskaźniki, listy'!$C$48,IF(Q28="gaz",T28*'Założenia,wskaźniki, listy'!$D$48,IF(Q28="drewno",T28*'Założenia,wskaźniki, listy'!$E$48,IF(Q28="pelet",T28*'Założenia,wskaźniki, listy'!$F$48,IF(Q28="olej opałowy",T28*'Założenia,wskaźniki, listy'!$G$48,IF(Q28="sieć ciepłownicza",0,IF(Q28="prąd",0,0)))))))</f>
        <v>0</v>
      </c>
      <c r="AN28" s="568">
        <f>IF(Q28="węgiel",T28*'Założenia,wskaźniki, listy'!$C$49,IF(Q28="gaz",T28*'Założenia,wskaźniki, listy'!$D$49,IF(Q28="drewno",T28*'Założenia,wskaźniki, listy'!$E$49,IF(Q28="pelet",T28*'Założenia,wskaźniki, listy'!$F$49,IF(Q28="olej opałowy",T28*'Założenia,wskaźniki, listy'!$G$49,IF(Q28="sieć ciepłownicza",0,IF(Q28="prąd",0,0)))))))</f>
        <v>0</v>
      </c>
      <c r="AO28" s="568">
        <f>IF(Q28="węgiel",T28*'Założenia,wskaźniki, listy'!$C$50,IF(Q28="gaz",T28*'Założenia,wskaźniki, listy'!$D$50,IF(Q28="drewno",T28*'Założenia,wskaźniki, listy'!$E$50,IF(Q28="pelet",T28*'Założenia,wskaźniki, listy'!$F$50,IF(Q28="olej opałowy",T28*'Założenia,wskaźniki, listy'!$G$50,IF(Q28="sieć ciepłownicza",0,IF(Q28="prąd",0,0)))))))</f>
        <v>0</v>
      </c>
      <c r="AP28" s="568">
        <v>4</v>
      </c>
      <c r="AQ28" s="575">
        <v>2</v>
      </c>
      <c r="AR28" s="594">
        <f t="shared" si="3"/>
        <v>0</v>
      </c>
      <c r="AS28" s="594">
        <f t="shared" si="4"/>
        <v>0</v>
      </c>
      <c r="AT28" s="568">
        <f>IF(P28="energia el.",(IF(O28&gt;=50,AD28,W28)+AP28*Z!$J$46),(IF(O28&gt;=50,AD28,W28)+AP28*Z!$J$46))</f>
        <v>3.3260000000000001</v>
      </c>
      <c r="AU28" s="568">
        <f t="shared" si="5"/>
        <v>0</v>
      </c>
      <c r="AV28" s="568">
        <f t="shared" si="6"/>
        <v>0</v>
      </c>
      <c r="AW28" s="568">
        <f t="shared" si="7"/>
        <v>0</v>
      </c>
      <c r="AX28" s="568">
        <f t="shared" si="8"/>
        <v>0</v>
      </c>
      <c r="AY28" s="88" t="s">
        <v>88</v>
      </c>
      <c r="AZ28" s="567"/>
      <c r="BA28" s="564"/>
      <c r="BB28" s="567" t="s">
        <v>109</v>
      </c>
      <c r="BC28" s="567" t="s">
        <v>91</v>
      </c>
      <c r="BD28" s="567"/>
      <c r="BE28" s="567" t="s">
        <v>109</v>
      </c>
      <c r="BF28" s="567" t="s">
        <v>88</v>
      </c>
      <c r="BG28" s="567">
        <v>2020</v>
      </c>
      <c r="BH28" s="567"/>
      <c r="BI28" s="308">
        <f t="shared" si="9"/>
        <v>0</v>
      </c>
      <c r="BJ28" s="308" t="b">
        <f t="shared" si="10"/>
        <v>0</v>
      </c>
      <c r="BK28" s="319" t="b">
        <f t="shared" si="11"/>
        <v>0</v>
      </c>
      <c r="BL28" s="319" t="b">
        <f t="shared" si="12"/>
        <v>0</v>
      </c>
      <c r="BM28" s="319">
        <f t="shared" si="13"/>
        <v>177</v>
      </c>
      <c r="BN28" s="319" t="b">
        <f t="shared" si="14"/>
        <v>0</v>
      </c>
      <c r="BO28" s="319" t="b">
        <f t="shared" si="15"/>
        <v>0</v>
      </c>
      <c r="BP28" s="319" t="b">
        <f t="shared" si="16"/>
        <v>0</v>
      </c>
      <c r="BQ28" s="319" t="b">
        <f t="shared" si="17"/>
        <v>0</v>
      </c>
      <c r="BR28" s="319" t="b">
        <f t="shared" si="18"/>
        <v>0</v>
      </c>
      <c r="BS28" s="319" t="b">
        <f t="shared" si="19"/>
        <v>0</v>
      </c>
      <c r="BT28" s="319" t="b">
        <f t="shared" si="20"/>
        <v>0</v>
      </c>
      <c r="BU28" s="319" t="b">
        <f t="shared" si="21"/>
        <v>0</v>
      </c>
      <c r="BV28" s="319" t="b">
        <f t="shared" si="22"/>
        <v>0</v>
      </c>
      <c r="BW28" s="319" t="b">
        <f t="shared" si="23"/>
        <v>0</v>
      </c>
      <c r="BX28" s="319" t="b">
        <f t="shared" si="24"/>
        <v>0</v>
      </c>
      <c r="BY28" s="319" t="b">
        <f t="shared" si="25"/>
        <v>0</v>
      </c>
      <c r="BZ28" s="319" t="b">
        <f t="shared" si="26"/>
        <v>0</v>
      </c>
      <c r="CA28" s="319" t="b">
        <f t="shared" si="27"/>
        <v>0</v>
      </c>
      <c r="CB28" s="319" t="b">
        <f t="shared" si="28"/>
        <v>0</v>
      </c>
      <c r="CC28" s="319" t="b">
        <f t="shared" si="29"/>
        <v>0</v>
      </c>
      <c r="CD28" s="319" t="b">
        <f t="shared" si="30"/>
        <v>0</v>
      </c>
      <c r="CE28" s="319" t="b">
        <f t="shared" si="31"/>
        <v>0</v>
      </c>
      <c r="CF28" s="319" t="b">
        <f t="shared" si="32"/>
        <v>0</v>
      </c>
    </row>
    <row r="29" spans="1:84">
      <c r="A29" s="996"/>
      <c r="B29" s="847">
        <f>SUM($C$5:C29)</f>
        <v>20</v>
      </c>
      <c r="C29" s="503" t="b">
        <f>IF(ISTEXT(D29),1)</f>
        <v>0</v>
      </c>
      <c r="D29" s="998"/>
      <c r="F29" s="847"/>
      <c r="G29" s="847"/>
      <c r="H29" s="88"/>
      <c r="I29" s="88"/>
      <c r="J29" s="88">
        <f>IF(F29&lt;=1966,'Założenia,wskaźniki, listy'!$H$4,IF(F29&gt;1966,IF(F29&lt;=1985,'Założenia,wskaźniki, listy'!$H$5,IF(F29&gt;1985,IF(F29&lt;=1992,'Założenia,wskaźniki, listy'!$H$6,IF(F29&gt;1992,IF(F29&lt;=1996,'Założenia,wskaźniki, listy'!$H$7,IF(F29&gt;1996,IF(F29&lt;=2013,'Założenia,wskaźniki, listy'!$H$8)))))))))</f>
        <v>290</v>
      </c>
      <c r="K29" s="864"/>
      <c r="L29" s="88"/>
      <c r="M29" s="88"/>
      <c r="N29" s="850"/>
      <c r="O29" s="850"/>
      <c r="P29" s="88"/>
      <c r="Q29" s="480">
        <f t="shared" ref="Q29" si="167">IF(R29&gt;0,(S29+T29+R29)/2,S29+T29)</f>
        <v>0</v>
      </c>
      <c r="R29" s="249">
        <f>IF(K29="kompletna",J29*G29*0.0036*'Założenia,wskaźniki, listy'!$C$15,IF(K29="częściowa",J29*G29*0.0036*'Założenia,wskaźniki, listy'!$C$16,IF(K29="brak",J29*G29*0.0036*'Założenia,wskaźniki, listy'!$C$17,0)))</f>
        <v>0</v>
      </c>
      <c r="S29" s="249">
        <f>H29*'Założenia,wskaźniki, listy'!$L$16</f>
        <v>0</v>
      </c>
      <c r="T29" s="249">
        <f>IF(L29="węgiel",M29*'Założenia,wskaźniki, listy'!$B$4,IF(L29="gaz",M29*'Założenia,wskaźniki, listy'!$B$5,IF(L29="drewno",M29*'Założenia,wskaźniki, listy'!$B$6,IF(L29="pelet",M29*'Założenia,wskaźniki, listy'!$B$7,IF(L29="olej opałowy",M29*'Założenia,wskaźniki, listy'!$B$8,IF(L29="sieć ciepłownicza",0,0))))))</f>
        <v>0</v>
      </c>
      <c r="U29" s="849">
        <f>IF(L29="węgiel",T29*'Założenia,wskaźniki, listy'!$C$44,IF(L29="gaz",T29*'Założenia,wskaźniki, listy'!$D$44,IF(L29="drewno",T29*'Założenia,wskaźniki, listy'!$E$44,IF(L29="pelet",T29*'Założenia,wskaźniki, listy'!$F$44,IF(L29="olej opałowy",T29*'Założenia,wskaźniki, listy'!$G$44,IF(L29="sieć ciepłownicza",0,IF(L29="prąd",0,0)))))))</f>
        <v>0</v>
      </c>
      <c r="V29" s="849">
        <f>IF(L29="węgiel",T29*'Założenia,wskaźniki, listy'!$C$45,IF(L29="gaz",T29*'Założenia,wskaźniki, listy'!$D$45,IF(L29="drewno",T29*'Założenia,wskaźniki, listy'!$E$45,IF(L29="pelet",T29*'Założenia,wskaźniki, listy'!$F$45,IF(L29="olej opałowy",T29*'Założenia,wskaźniki, listy'!$G$45,IF(L29="sieć ciepłownicza",0,IF(L29="prąd",0,0)))))))</f>
        <v>0</v>
      </c>
      <c r="W29" s="849">
        <f>IF(L29="węgiel",T29*'Założenia,wskaźniki, listy'!$C$46,IF(L29="gaz",T29*'Założenia,wskaźniki, listy'!$D$46,IF(L29="drewno",T29*'Założenia,wskaźniki, listy'!$E$46,IF(L29="pelet",T29*'Założenia,wskaźniki, listy'!$F$46,IF(L29="olej opałowy",T29*'Założenia,wskaźniki, listy'!$G$46,IF(L29="sieć ciepłownicza",0,IF(L29="prąd",0,0)))))))</f>
        <v>0</v>
      </c>
      <c r="X29" s="849">
        <f>IF(L29="węgiel",T29*'Założenia,wskaźniki, listy'!$C$47,IF(L29="gaz",T29*'Założenia,wskaźniki, listy'!$D$47,IF(L29="drewno",T29*'Założenia,wskaźniki, listy'!$E$47,IF(L29="pelet",T29*'Założenia,wskaźniki, listy'!$F$47,IF(L29="olej opałowy",T29*'Założenia,wskaźniki, listy'!$G$47,IF(L29="sieć ciepłownicza",0,IF(L29="prąd",0,0)))))))</f>
        <v>0</v>
      </c>
      <c r="Y29" s="849">
        <f>IF(L29="węgiel",T29*'Założenia,wskaźniki, listy'!$C$48,IF(L29="gaz",T29*'Założenia,wskaźniki, listy'!$D$48,IF(L29="drewno",T29*'Założenia,wskaźniki, listy'!$E$48,IF(L29="pelet",T29*'Założenia,wskaźniki, listy'!$F$48,IF(L29="olej opałowy",T29*'Założenia,wskaźniki, listy'!$G$48,IF(L29="sieć ciepłownicza",0,IF(L29="prąd",0,0)))))))</f>
        <v>0</v>
      </c>
      <c r="Z29" s="849">
        <f>IF(L29="węgiel",T29*'Założenia,wskaźniki, listy'!$C$49,IF(L29="gaz",T29*'Założenia,wskaźniki, listy'!$D$49,IF(L29="drewno",T29*'Założenia,wskaźniki, listy'!$E$49,IF(L29="pelet",T29*'Założenia,wskaźniki, listy'!$F$49,IF(L29="olej opałowy",T29*'Założenia,wskaźniki, listy'!$G$49,IF(L29="sieć ciepłownicza",0,IF(L29="prąd",0,0)))))))</f>
        <v>0</v>
      </c>
      <c r="AA29" s="849">
        <f>IF(L29="węgiel",T29*'Założenia,wskaźniki, listy'!$C$50,IF(L29="gaz",T29*'Założenia,wskaźniki, listy'!$D$50,IF(L29="drewno",T29*'Założenia,wskaźniki, listy'!$E$50,IF(L29="pelet",T29*'Założenia,wskaźniki, listy'!$F$50,IF(L29="olej opałowy",T29*'Założenia,wskaźniki, listy'!$G$50,IF(L29="sieć ciepłownicza",0,IF(L29="prąd",0,0)))))))</f>
        <v>0</v>
      </c>
      <c r="AB29" s="849">
        <f>IF(L29="węgiel",T29*Z!$C$44,IF(L29="gaz",T29*Z!$D$44,IF(L29="drewno",T29*Z!$E$44,IF(L29="pelet",T29*Z!$F$44,IF(L29="olej opałowy",T29*Z!$G$44,IF(L29="sieć ciepłownicza",0,IF(L29="prąd",0,0)))))))</f>
        <v>0</v>
      </c>
      <c r="AC29" s="849">
        <f>IF(L29="węgiel",T29*Z!$C$45,IF(L29="gaz",T29*Z!$D$45,IF(L29="drewno",T29*Z!$E$45,IF(L29="pelet",T29*Z!$F$45,IF(L29="olej opałowy",T29*Z!$G$45,IF(L29="sieć ciepłownicza",0,IF(L29="prąd",0,0)))))))</f>
        <v>0</v>
      </c>
      <c r="AD29" s="849">
        <f>IF(L29="węgiel",T29*Z!$C$46,IF(L29="gaz",T29*Z!$D$46,IF(L29="drewno",T29*Z!$E$46,IF(L29="pelet",T29*Z!$F$46,IF(L29="olej opałowy",T29*Z!$G$46,IF(L29="sieć ciepłownicza",0,IF(L29="prąd",0,0)))))))</f>
        <v>0</v>
      </c>
      <c r="AE29" s="849">
        <f>IF(L29="węgiel",T29*Z!$C$47,IF(L29="gaz",T29*Z!$D$47,IF(L29="drewno",T29*Z!$E$47,IF(L29="pelet",T29*Z!$F$47,IF(L29="olej opałowy",T29*Z!$G$47,IF(L29="sieć ciepłownicza",0,IF(L29="prąd",0,0)))))))</f>
        <v>0</v>
      </c>
      <c r="AF29" s="849">
        <f>IF(L29="węgiel",T29*Z!$C$48,IF(L29="gaz",T29*Z!$D$48,IF(L29="drewno",T29*Z!$E$48,IF(L29="pelet",T29*Z!$F$48,IF(L29="olej opałowy",T29*Z!$G$48,IF(L29="sieć ciepłownicza",0,IF(L29="prąd",0,0)))))))</f>
        <v>0</v>
      </c>
      <c r="AG29" s="849">
        <f>IF(L29="węgiel",T29*Z!$C$49,IF(L29="gaz",T29*Z!$D$49,IF(L29="drewno",T29*Z!$E$49,IF(L29="pelet",T29*Z!$F$49,IF(L29="olej opałowy",T29*Z!$G$49,IF(L29="sieć ciepłownicza",0,IF(L29="prąd",0,0)))))))</f>
        <v>0</v>
      </c>
      <c r="AH29" s="849">
        <f>IF(L29="węgiel",T29*Z!$C$50,IF(L29="gaz",T29*Z!$D$50,IF(L29="drewno",T29*Z!$E$50,IF(L29="pelet",T29*Z!$F$50,IF(L29="olej opałowy",T29*Z!$G$50,IF(L29="sieć ciepłownicza",0,IF(L29="prąd",0,0)))))))</f>
        <v>0</v>
      </c>
      <c r="AI29" s="849">
        <f>IF(P29="węgiel",S29*'Założenia,wskaźniki, listy'!$C$44,IF(P29="gaz",S29*'Założenia,wskaźniki, listy'!$D$44,IF(P29="drewno",S29*'Założenia,wskaźniki, listy'!$E$44,IF(P29="pelet",S29*'Założenia,wskaźniki, listy'!$F$44,IF(P29="olej opałowy",S29*'Założenia,wskaźniki, listy'!$G$44,IF(P29="sieć ciepłownicza",0,IF(P29="prąd",0,0)))))))</f>
        <v>0</v>
      </c>
      <c r="AJ29" s="849">
        <f>IF(Q29="węgiel",T29*'Założenia,wskaźniki, listy'!$C$45,IF(Q29="gaz",T29*'Założenia,wskaźniki, listy'!$D$45,IF(Q29="drewno",T29*'Założenia,wskaźniki, listy'!$E$45,IF(Q29="pelet",T29*'Założenia,wskaźniki, listy'!$F$45,IF(Q29="olej opałowy",T29*'Założenia,wskaźniki, listy'!$G$45,IF(Q29="sieć ciepłownicza",0,IF(Q29="prąd",0,0)))))))</f>
        <v>0</v>
      </c>
      <c r="AK29" s="849">
        <f>IF(Q29="węgiel",T29*'Założenia,wskaźniki, listy'!$C$46,IF(Q29="gaz",T29*'Założenia,wskaźniki, listy'!$D$46,IF(Q29="drewno",T29*'Założenia,wskaźniki, listy'!$E$46,IF(Q29="pelet",T29*'Założenia,wskaźniki, listy'!$F$46,IF(Q29="olej opałowy",T29*'Założenia,wskaźniki, listy'!$G$46,IF(Q29="sieć ciepłownicza",0,IF(Q29="prąd",0,0)))))))</f>
        <v>0</v>
      </c>
      <c r="AL29" s="849">
        <f>IF(Q29="węgiel",T29*'Założenia,wskaźniki, listy'!$C$47,IF(Q29="gaz",T29*'Założenia,wskaźniki, listy'!$D$47,IF(Q29="drewno",T29*'Założenia,wskaźniki, listy'!$E$47,IF(Q29="pelet",T29*'Założenia,wskaźniki, listy'!$F$47,IF(Q29="olej opałowy",T29*'Założenia,wskaźniki, listy'!$G$47,IF(Q29="sieć ciepłownicza",0,IF(Q29="prąd",0,0)))))))</f>
        <v>0</v>
      </c>
      <c r="AM29" s="849">
        <f>IF(Q29="węgiel",T29*'Założenia,wskaźniki, listy'!$C$48,IF(Q29="gaz",T29*'Założenia,wskaźniki, listy'!$D$48,IF(Q29="drewno",T29*'Założenia,wskaźniki, listy'!$E$48,IF(Q29="pelet",T29*'Założenia,wskaźniki, listy'!$F$48,IF(Q29="olej opałowy",T29*'Założenia,wskaźniki, listy'!$G$48,IF(Q29="sieć ciepłownicza",0,IF(Q29="prąd",0,0)))))))</f>
        <v>0</v>
      </c>
      <c r="AN29" s="849">
        <f>IF(Q29="węgiel",T29*'Założenia,wskaźniki, listy'!$C$49,IF(Q29="gaz",T29*'Założenia,wskaźniki, listy'!$D$49,IF(Q29="drewno",T29*'Założenia,wskaźniki, listy'!$E$49,IF(Q29="pelet",T29*'Założenia,wskaźniki, listy'!$F$49,IF(Q29="olej opałowy",T29*'Założenia,wskaźniki, listy'!$G$49,IF(Q29="sieć ciepłownicza",0,IF(Q29="prąd",0,0)))))))</f>
        <v>0</v>
      </c>
      <c r="AO29" s="849">
        <f>IF(Q29="węgiel",T29*'Założenia,wskaźniki, listy'!$C$50,IF(Q29="gaz",T29*'Założenia,wskaźniki, listy'!$D$50,IF(Q29="drewno",T29*'Założenia,wskaźniki, listy'!$E$50,IF(Q29="pelet",T29*'Założenia,wskaźniki, listy'!$F$50,IF(Q29="olej opałowy",T29*'Założenia,wskaźniki, listy'!$G$50,IF(Q29="sieć ciepłownicza",0,IF(Q29="prąd",0,0)))))))</f>
        <v>0</v>
      </c>
      <c r="AP29" s="849"/>
      <c r="AQ29" s="849"/>
      <c r="AR29" s="849">
        <f t="shared" ref="AR29" si="168">AI29+IF(O29&gt;=50,AB29,U29)</f>
        <v>0</v>
      </c>
      <c r="AS29" s="849">
        <f t="shared" ref="AS29" si="169">AJ29+IF(O29&gt;=50,AC29,V29)</f>
        <v>0</v>
      </c>
      <c r="AT29" s="849">
        <f>IF(P29="energia el.",(IF(O29&gt;=50,AD29,W29)+AP29*Z!$J$46),(IF(O29&gt;=50,AD29,W29)+AP29*Z!$J$46))</f>
        <v>0</v>
      </c>
      <c r="AU29" s="849">
        <f t="shared" ref="AU29" si="170">AL29+IF(O29&gt;=50,AE29,X29)</f>
        <v>0</v>
      </c>
      <c r="AV29" s="849">
        <f t="shared" ref="AV29" si="171">AM29+IF(O29&gt;=50,AF29,Y29)</f>
        <v>0</v>
      </c>
      <c r="AW29" s="849">
        <f t="shared" ref="AW29" si="172">AN29+IF(O29&gt;=50,AG29,Z29)</f>
        <v>0</v>
      </c>
      <c r="AX29" s="849">
        <f t="shared" ref="AX29" si="173">AO29+IF(O29&gt;=50,AH29,AA29)</f>
        <v>0</v>
      </c>
      <c r="AY29" s="88"/>
      <c r="AZ29" s="850"/>
      <c r="BA29" s="583"/>
      <c r="BB29" s="850"/>
      <c r="BC29" s="850" t="s">
        <v>2</v>
      </c>
      <c r="BD29" s="850"/>
      <c r="BE29" s="850"/>
      <c r="BF29" s="850"/>
      <c r="BG29" s="850"/>
      <c r="BH29" s="850"/>
      <c r="BI29" s="308">
        <f t="shared" ref="BI29" si="174">IF(O29&lt;50,T29)</f>
        <v>0</v>
      </c>
      <c r="BJ29" s="308" t="b">
        <f t="shared" ref="BJ29" si="175">IF(O29&gt;=50,T29)</f>
        <v>0</v>
      </c>
      <c r="BK29" s="319">
        <f t="shared" ref="BK29" si="176">IF(F29&lt;=1966,G29)</f>
        <v>0</v>
      </c>
      <c r="BL29" s="319" t="b">
        <f t="shared" ref="BL29" si="177">IF(K29="kompletna",BK29,IF(K29="częściowa",0.5*BK29))</f>
        <v>0</v>
      </c>
      <c r="BM29" s="319" t="b">
        <f t="shared" ref="BM29" si="178">IF(F29&gt;1966,IF(F29&lt;=1985,G29))</f>
        <v>0</v>
      </c>
      <c r="BN29" s="319" t="b">
        <f t="shared" ref="BN29" si="179">IF(K29="kompletna",BM29,IF(K29="częściowa",0.5*BM29))</f>
        <v>0</v>
      </c>
      <c r="BO29" s="319" t="b">
        <f t="shared" ref="BO29" si="180">IF(F29&gt;1985,IF(F29&lt;=1992,G29))</f>
        <v>0</v>
      </c>
      <c r="BP29" s="319" t="b">
        <f t="shared" ref="BP29" si="181">IF(K29="kompletna",BO29,IF(K29="częściowa",0.5*BO29))</f>
        <v>0</v>
      </c>
      <c r="BQ29" s="319" t="b">
        <f t="shared" ref="BQ29" si="182">IF(F29&gt;1992,IF(F29&lt;=1996,G29))</f>
        <v>0</v>
      </c>
      <c r="BR29" s="319" t="b">
        <f t="shared" ref="BR29" si="183">IF(K29="kompletna",BQ29,IF(K29="częściowa",0.5*BQ29))</f>
        <v>0</v>
      </c>
      <c r="BS29" s="319" t="b">
        <f t="shared" ref="BS29" si="184">IF(F29&gt;1996,IF(F29&lt;=2014,G29))</f>
        <v>0</v>
      </c>
      <c r="BT29" s="319" t="b">
        <f t="shared" ref="BT29" si="185">IF(K29="kompletna",BS29,IF(K29="częściowa",0.5*BS29))</f>
        <v>0</v>
      </c>
      <c r="BU29" s="319" t="b">
        <f t="shared" ref="BU29" si="186">IF(L29="węgiel",T29)</f>
        <v>0</v>
      </c>
      <c r="BV29" s="319" t="b">
        <f t="shared" ref="BV29" si="187">IF(L29="gaz",Q29)</f>
        <v>0</v>
      </c>
      <c r="BW29" s="319" t="b">
        <f t="shared" ref="BW29" si="188">IF(L29="drewno",T29)</f>
        <v>0</v>
      </c>
      <c r="BX29" s="319" t="b">
        <f t="shared" ref="BX29" si="189">IF(L29="pelet",T29)</f>
        <v>0</v>
      </c>
      <c r="BY29" s="319" t="b">
        <f t="shared" ref="BY29" si="190">IF(L29="olej opałowy",T29)</f>
        <v>0</v>
      </c>
      <c r="BZ29" s="319" t="b">
        <f t="shared" ref="BZ29" si="191">IF(L29="energia el.",Q29)</f>
        <v>0</v>
      </c>
      <c r="CA29" s="319" t="b">
        <f t="shared" ref="CA29" si="192">IF(P29="węgiel",S29)</f>
        <v>0</v>
      </c>
      <c r="CB29" s="319" t="b">
        <f t="shared" ref="CB29" si="193">IF(P29="gaz",S29)</f>
        <v>0</v>
      </c>
      <c r="CC29" s="319" t="b">
        <f t="shared" ref="CC29" si="194">IF(P29="drewno",S29)</f>
        <v>0</v>
      </c>
      <c r="CD29" s="319" t="b">
        <f t="shared" ref="CD29" si="195">IF(P29="pelet",S29)</f>
        <v>0</v>
      </c>
      <c r="CE29" s="319" t="b">
        <f t="shared" ref="CE29" si="196">IF(P29="olej opałowy",S29)</f>
        <v>0</v>
      </c>
      <c r="CF29" s="319" t="b">
        <f t="shared" ref="CF29" si="197">IF(P29="energia el.",S29)</f>
        <v>0</v>
      </c>
    </row>
    <row r="30" spans="1:84">
      <c r="A30" s="781">
        <v>21</v>
      </c>
      <c r="B30" s="593">
        <f>SUM($C$5:C30)</f>
        <v>21</v>
      </c>
      <c r="C30" s="503">
        <f>IF(ISTEXT(D30),1)</f>
        <v>1</v>
      </c>
      <c r="D30" s="846" t="s">
        <v>643</v>
      </c>
      <c r="F30" s="566"/>
      <c r="G30" s="566"/>
      <c r="H30" s="88"/>
      <c r="I30" s="88"/>
      <c r="J30" s="88">
        <f>IF(F30&lt;=1966,'Założenia,wskaźniki, listy'!$H$4,IF(F30&gt;1966,IF(F30&lt;=1985,'Założenia,wskaźniki, listy'!$H$5,IF(F30&gt;1985,IF(F30&lt;=1992,'Założenia,wskaźniki, listy'!$H$6,IF(F30&gt;1992,IF(F30&lt;=1996,'Założenia,wskaźniki, listy'!$H$7,IF(F30&gt;1996,IF(F30&lt;=2013,'Założenia,wskaźniki, listy'!$H$8)))))))))</f>
        <v>290</v>
      </c>
      <c r="K30" s="864"/>
      <c r="L30" s="88"/>
      <c r="M30" s="88"/>
      <c r="N30" s="567"/>
      <c r="O30" s="567"/>
      <c r="P30" s="88"/>
      <c r="Q30" s="480">
        <f t="shared" si="2"/>
        <v>0</v>
      </c>
      <c r="R30" s="249">
        <f>IF(K30="kompletna",J30*G30*0.0036*'Założenia,wskaźniki, listy'!$C$15,IF(K30="częściowa",J30*G30*0.0036*'Założenia,wskaźniki, listy'!$C$16,IF(K30="brak",J30*G30*0.0036*'Założenia,wskaźniki, listy'!$C$17,0)))</f>
        <v>0</v>
      </c>
      <c r="S30" s="249">
        <f>H30*'Założenia,wskaźniki, listy'!$L$16</f>
        <v>0</v>
      </c>
      <c r="T30" s="249">
        <f>IF(L30="węgiel",M30*'Założenia,wskaźniki, listy'!$B$4,IF(L30="gaz",M30*'Założenia,wskaźniki, listy'!$B$5,IF(L30="drewno",M30*'Założenia,wskaźniki, listy'!$B$6,IF(L30="pelet",M30*'Założenia,wskaźniki, listy'!$B$7,IF(L30="olej opałowy",M30*'Założenia,wskaźniki, listy'!$B$8,IF(L30="sieć ciepłownicza",0,0))))))</f>
        <v>0</v>
      </c>
      <c r="U30" s="568">
        <f>IF(L30="węgiel",T30*'Założenia,wskaźniki, listy'!$C$44,IF(L30="gaz",T30*'Założenia,wskaźniki, listy'!$D$44,IF(L30="drewno",T30*'Założenia,wskaźniki, listy'!$E$44,IF(L30="pelet",T30*'Założenia,wskaźniki, listy'!$F$44,IF(L30="olej opałowy",T30*'Założenia,wskaźniki, listy'!$G$44,IF(L30="sieć ciepłownicza",0,IF(L30="prąd",0,0)))))))</f>
        <v>0</v>
      </c>
      <c r="V30" s="568">
        <f>IF(L30="węgiel",T30*'Założenia,wskaźniki, listy'!$C$45,IF(L30="gaz",T30*'Założenia,wskaźniki, listy'!$D$45,IF(L30="drewno",T30*'Założenia,wskaźniki, listy'!$E$45,IF(L30="pelet",T30*'Założenia,wskaźniki, listy'!$F$45,IF(L30="olej opałowy",T30*'Założenia,wskaźniki, listy'!$G$45,IF(L30="sieć ciepłownicza",0,IF(L30="prąd",0,0)))))))</f>
        <v>0</v>
      </c>
      <c r="W30" s="568">
        <f>IF(L30="węgiel",T30*'Założenia,wskaźniki, listy'!$C$46,IF(L30="gaz",T30*'Założenia,wskaźniki, listy'!$D$46,IF(L30="drewno",T30*'Założenia,wskaźniki, listy'!$E$46,IF(L30="pelet",T30*'Założenia,wskaźniki, listy'!$F$46,IF(L30="olej opałowy",T30*'Założenia,wskaźniki, listy'!$G$46,IF(L30="sieć ciepłownicza",0,IF(L30="prąd",0,0)))))))</f>
        <v>0</v>
      </c>
      <c r="X30" s="568">
        <f>IF(L30="węgiel",T30*'Założenia,wskaźniki, listy'!$C$47,IF(L30="gaz",T30*'Założenia,wskaźniki, listy'!$D$47,IF(L30="drewno",T30*'Założenia,wskaźniki, listy'!$E$47,IF(L30="pelet",T30*'Założenia,wskaźniki, listy'!$F$47,IF(L30="olej opałowy",T30*'Założenia,wskaźniki, listy'!$G$47,IF(L30="sieć ciepłownicza",0,IF(L30="prąd",0,0)))))))</f>
        <v>0</v>
      </c>
      <c r="Y30" s="568">
        <f>IF(L30="węgiel",T30*'Założenia,wskaźniki, listy'!$C$48,IF(L30="gaz",T30*'Założenia,wskaźniki, listy'!$D$48,IF(L30="drewno",T30*'Założenia,wskaźniki, listy'!$E$48,IF(L30="pelet",T30*'Założenia,wskaźniki, listy'!$F$48,IF(L30="olej opałowy",T30*'Założenia,wskaźniki, listy'!$G$48,IF(L30="sieć ciepłownicza",0,IF(L30="prąd",0,0)))))))</f>
        <v>0</v>
      </c>
      <c r="Z30" s="568">
        <f>IF(L30="węgiel",T30*'Założenia,wskaźniki, listy'!$C$49,IF(L30="gaz",T30*'Założenia,wskaźniki, listy'!$D$49,IF(L30="drewno",T30*'Założenia,wskaźniki, listy'!$E$49,IF(L30="pelet",T30*'Założenia,wskaźniki, listy'!$F$49,IF(L30="olej opałowy",T30*'Założenia,wskaźniki, listy'!$G$49,IF(L30="sieć ciepłownicza",0,IF(L30="prąd",0,0)))))))</f>
        <v>0</v>
      </c>
      <c r="AA30" s="568">
        <f>IF(L30="węgiel",T30*'Założenia,wskaźniki, listy'!$C$50,IF(L30="gaz",T30*'Założenia,wskaźniki, listy'!$D$50,IF(L30="drewno",T30*'Założenia,wskaźniki, listy'!$E$50,IF(L30="pelet",T30*'Założenia,wskaźniki, listy'!$F$50,IF(L30="olej opałowy",T30*'Założenia,wskaźniki, listy'!$G$50,IF(L30="sieć ciepłownicza",0,IF(L30="prąd",0,0)))))))</f>
        <v>0</v>
      </c>
      <c r="AB30" s="568">
        <f>IF(L30="węgiel",T30*Z!$C$44,IF(L30="gaz",T30*Z!$D$44,IF(L30="drewno",T30*Z!$E$44,IF(L30="pelet",T30*Z!$F$44,IF(L30="olej opałowy",T30*Z!$G$44,IF(L30="sieć ciepłownicza",0,IF(L30="prąd",0,0)))))))</f>
        <v>0</v>
      </c>
      <c r="AC30" s="568">
        <f>IF(L30="węgiel",T30*Z!$C$45,IF(L30="gaz",T30*Z!$D$45,IF(L30="drewno",T30*Z!$E$45,IF(L30="pelet",T30*Z!$F$45,IF(L30="olej opałowy",T30*Z!$G$45,IF(L30="sieć ciepłownicza",0,IF(L30="prąd",0,0)))))))</f>
        <v>0</v>
      </c>
      <c r="AD30" s="568">
        <f>IF(L30="węgiel",T30*Z!$C$46,IF(L30="gaz",T30*Z!$D$46,IF(L30="drewno",T30*Z!$E$46,IF(L30="pelet",T30*Z!$F$46,IF(L30="olej opałowy",T30*Z!$G$46,IF(L30="sieć ciepłownicza",0,IF(L30="prąd",0,0)))))))</f>
        <v>0</v>
      </c>
      <c r="AE30" s="568">
        <f>IF(L30="węgiel",T30*Z!$C$47,IF(L30="gaz",T30*Z!$D$47,IF(L30="drewno",T30*Z!$E$47,IF(L30="pelet",T30*Z!$F$47,IF(L30="olej opałowy",T30*Z!$G$47,IF(L30="sieć ciepłownicza",0,IF(L30="prąd",0,0)))))))</f>
        <v>0</v>
      </c>
      <c r="AF30" s="568">
        <f>IF(L30="węgiel",T30*Z!$C$48,IF(L30="gaz",T30*Z!$D$48,IF(L30="drewno",T30*Z!$E$48,IF(L30="pelet",T30*Z!$F$48,IF(L30="olej opałowy",T30*Z!$G$48,IF(L30="sieć ciepłownicza",0,IF(L30="prąd",0,0)))))))</f>
        <v>0</v>
      </c>
      <c r="AG30" s="568">
        <f>IF(L30="węgiel",T30*Z!$C$49,IF(L30="gaz",T30*Z!$D$49,IF(L30="drewno",T30*Z!$E$49,IF(L30="pelet",T30*Z!$F$49,IF(L30="olej opałowy",T30*Z!$G$49,IF(L30="sieć ciepłownicza",0,IF(L30="prąd",0,0)))))))</f>
        <v>0</v>
      </c>
      <c r="AH30" s="568">
        <f>IF(L30="węgiel",T30*Z!$C$50,IF(L30="gaz",T30*Z!$D$50,IF(L30="drewno",T30*Z!$E$50,IF(L30="pelet",T30*Z!$F$50,IF(L30="olej opałowy",T30*Z!$G$50,IF(L30="sieć ciepłownicza",0,IF(L30="prąd",0,0)))))))</f>
        <v>0</v>
      </c>
      <c r="AI30" s="568">
        <f>IF(P30="węgiel",S30*'Założenia,wskaźniki, listy'!$C$44,IF(P30="gaz",S30*'Założenia,wskaźniki, listy'!$D$44,IF(P30="drewno",S30*'Założenia,wskaźniki, listy'!$E$44,IF(P30="pelet",S30*'Założenia,wskaźniki, listy'!$F$44,IF(P30="olej opałowy",S30*'Założenia,wskaźniki, listy'!$G$44,IF(P30="sieć ciepłownicza",0,IF(P30="prąd",0,0)))))))</f>
        <v>0</v>
      </c>
      <c r="AJ30" s="568">
        <f>IF(Q30="węgiel",T30*'Założenia,wskaźniki, listy'!$C$45,IF(Q30="gaz",T30*'Założenia,wskaźniki, listy'!$D$45,IF(Q30="drewno",T30*'Założenia,wskaźniki, listy'!$E$45,IF(Q30="pelet",T30*'Założenia,wskaźniki, listy'!$F$45,IF(Q30="olej opałowy",T30*'Założenia,wskaźniki, listy'!$G$45,IF(Q30="sieć ciepłownicza",0,IF(Q30="prąd",0,0)))))))</f>
        <v>0</v>
      </c>
      <c r="AK30" s="568">
        <f>IF(Q30="węgiel",T30*'Założenia,wskaźniki, listy'!$C$46,IF(Q30="gaz",T30*'Założenia,wskaźniki, listy'!$D$46,IF(Q30="drewno",T30*'Założenia,wskaźniki, listy'!$E$46,IF(Q30="pelet",T30*'Założenia,wskaźniki, listy'!$F$46,IF(Q30="olej opałowy",T30*'Założenia,wskaźniki, listy'!$G$46,IF(Q30="sieć ciepłownicza",0,IF(Q30="prąd",0,0)))))))</f>
        <v>0</v>
      </c>
      <c r="AL30" s="568">
        <f>IF(Q30="węgiel",T30*'Założenia,wskaźniki, listy'!$C$47,IF(Q30="gaz",T30*'Założenia,wskaźniki, listy'!$D$47,IF(Q30="drewno",T30*'Założenia,wskaźniki, listy'!$E$47,IF(Q30="pelet",T30*'Założenia,wskaźniki, listy'!$F$47,IF(Q30="olej opałowy",T30*'Założenia,wskaźniki, listy'!$G$47,IF(Q30="sieć ciepłownicza",0,IF(Q30="prąd",0,0)))))))</f>
        <v>0</v>
      </c>
      <c r="AM30" s="568">
        <f>IF(Q30="węgiel",T30*'Założenia,wskaźniki, listy'!$C$48,IF(Q30="gaz",T30*'Założenia,wskaźniki, listy'!$D$48,IF(Q30="drewno",T30*'Założenia,wskaźniki, listy'!$E$48,IF(Q30="pelet",T30*'Założenia,wskaźniki, listy'!$F$48,IF(Q30="olej opałowy",T30*'Założenia,wskaźniki, listy'!$G$48,IF(Q30="sieć ciepłownicza",0,IF(Q30="prąd",0,0)))))))</f>
        <v>0</v>
      </c>
      <c r="AN30" s="568">
        <f>IF(Q30="węgiel",T30*'Założenia,wskaźniki, listy'!$C$49,IF(Q30="gaz",T30*'Założenia,wskaźniki, listy'!$D$49,IF(Q30="drewno",T30*'Założenia,wskaźniki, listy'!$E$49,IF(Q30="pelet",T30*'Założenia,wskaźniki, listy'!$F$49,IF(Q30="olej opałowy",T30*'Założenia,wskaźniki, listy'!$G$49,IF(Q30="sieć ciepłownicza",0,IF(Q30="prąd",0,0)))))))</f>
        <v>0</v>
      </c>
      <c r="AO30" s="568">
        <f>IF(Q30="węgiel",T30*'Założenia,wskaźniki, listy'!$C$50,IF(Q30="gaz",T30*'Założenia,wskaźniki, listy'!$D$50,IF(Q30="drewno",T30*'Założenia,wskaźniki, listy'!$E$50,IF(Q30="pelet",T30*'Założenia,wskaźniki, listy'!$F$50,IF(Q30="olej opałowy",T30*'Założenia,wskaźniki, listy'!$G$50,IF(Q30="sieć ciepłownicza",0,IF(Q30="prąd",0,0)))))))</f>
        <v>0</v>
      </c>
      <c r="AP30" s="568">
        <f>54540/1000</f>
        <v>54.54</v>
      </c>
      <c r="AQ30" s="575"/>
      <c r="AR30" s="594">
        <f t="shared" si="3"/>
        <v>0</v>
      </c>
      <c r="AS30" s="594">
        <f t="shared" si="4"/>
        <v>0</v>
      </c>
      <c r="AT30" s="568">
        <f>IF(P30="energia el.",(IF(O30&gt;=50,AD30,W30)+AP30*Z!$J$46),(IF(O30&gt;=50,AD30,W30)+AP30*Z!$J$46))</f>
        <v>45.350009999999997</v>
      </c>
      <c r="AU30" s="568">
        <f t="shared" si="5"/>
        <v>0</v>
      </c>
      <c r="AV30" s="568">
        <f t="shared" si="6"/>
        <v>0</v>
      </c>
      <c r="AW30" s="568">
        <f t="shared" si="7"/>
        <v>0</v>
      </c>
      <c r="AX30" s="568">
        <f t="shared" si="8"/>
        <v>0</v>
      </c>
      <c r="AY30" s="88"/>
      <c r="AZ30" s="567"/>
      <c r="BA30" s="564"/>
      <c r="BB30" s="567"/>
      <c r="BC30" s="567"/>
      <c r="BD30" s="567"/>
      <c r="BE30" s="567"/>
      <c r="BF30" s="567"/>
      <c r="BG30" s="567"/>
      <c r="BH30" s="567"/>
      <c r="BI30" s="308">
        <f t="shared" si="9"/>
        <v>0</v>
      </c>
      <c r="BJ30" s="308" t="b">
        <f t="shared" si="10"/>
        <v>0</v>
      </c>
      <c r="BK30" s="319">
        <f t="shared" si="11"/>
        <v>0</v>
      </c>
      <c r="BL30" s="319" t="b">
        <f t="shared" si="12"/>
        <v>0</v>
      </c>
      <c r="BM30" s="319" t="b">
        <f t="shared" si="13"/>
        <v>0</v>
      </c>
      <c r="BN30" s="319" t="b">
        <f t="shared" si="14"/>
        <v>0</v>
      </c>
      <c r="BO30" s="319" t="b">
        <f t="shared" si="15"/>
        <v>0</v>
      </c>
      <c r="BP30" s="319" t="b">
        <f t="shared" si="16"/>
        <v>0</v>
      </c>
      <c r="BQ30" s="319" t="b">
        <f t="shared" si="17"/>
        <v>0</v>
      </c>
      <c r="BR30" s="319" t="b">
        <f t="shared" si="18"/>
        <v>0</v>
      </c>
      <c r="BS30" s="319" t="b">
        <f t="shared" si="19"/>
        <v>0</v>
      </c>
      <c r="BT30" s="319" t="b">
        <f t="shared" si="20"/>
        <v>0</v>
      </c>
      <c r="BU30" s="319" t="b">
        <f t="shared" si="21"/>
        <v>0</v>
      </c>
      <c r="BV30" s="319" t="b">
        <f t="shared" si="22"/>
        <v>0</v>
      </c>
      <c r="BW30" s="319" t="b">
        <f t="shared" si="23"/>
        <v>0</v>
      </c>
      <c r="BX30" s="319" t="b">
        <f t="shared" si="24"/>
        <v>0</v>
      </c>
      <c r="BY30" s="319" t="b">
        <f t="shared" si="25"/>
        <v>0</v>
      </c>
      <c r="BZ30" s="319" t="b">
        <f t="shared" si="26"/>
        <v>0</v>
      </c>
      <c r="CA30" s="319" t="b">
        <f t="shared" si="27"/>
        <v>0</v>
      </c>
      <c r="CB30" s="319" t="b">
        <f t="shared" si="28"/>
        <v>0</v>
      </c>
      <c r="CC30" s="319" t="b">
        <f t="shared" si="29"/>
        <v>0</v>
      </c>
      <c r="CD30" s="319" t="b">
        <f t="shared" si="30"/>
        <v>0</v>
      </c>
      <c r="CE30" s="319" t="b">
        <f t="shared" si="31"/>
        <v>0</v>
      </c>
      <c r="CF30" s="319" t="b">
        <f t="shared" si="32"/>
        <v>0</v>
      </c>
    </row>
    <row r="31" spans="1:84" s="326" customFormat="1" ht="7.8">
      <c r="D31" s="852"/>
      <c r="E31" s="325"/>
      <c r="G31" s="88">
        <f>SUM(G5:G30)</f>
        <v>10510.220000000001</v>
      </c>
      <c r="H31" s="88">
        <f>SUM(H5:H30)</f>
        <v>603</v>
      </c>
      <c r="I31" s="88">
        <f>SUM(I5:I30)</f>
        <v>198</v>
      </c>
      <c r="N31" s="327"/>
      <c r="O31" s="327"/>
      <c r="Q31" s="792">
        <f>SUM(Q5:Q30)</f>
        <v>6830.3231445249994</v>
      </c>
      <c r="R31" s="782">
        <f>IF(K31="kompletna",J31*G31*0.0036*'Założenia,wskaźniki, listy'!$C$15,IF(K31="częściowa",J31*G31*0.0036*'Założenia,wskaźniki, listy'!$C$16,IF(K31="brak",J31*G31*0.0036*'Założenia,wskaźniki, listy'!$C$17,0)))</f>
        <v>0</v>
      </c>
      <c r="S31" s="792">
        <f>SUM(S5:S30)</f>
        <v>242.7686366625</v>
      </c>
      <c r="T31" s="792">
        <f>SUM(T5:T30)</f>
        <v>5742.0970296125006</v>
      </c>
      <c r="U31" s="792"/>
      <c r="V31" s="792"/>
      <c r="W31" s="792"/>
      <c r="X31" s="792"/>
      <c r="Y31" s="792"/>
      <c r="Z31" s="792"/>
      <c r="AA31" s="792"/>
      <c r="AB31" s="792"/>
      <c r="AC31" s="792"/>
      <c r="AD31" s="792"/>
      <c r="AE31" s="792"/>
      <c r="AF31" s="792"/>
      <c r="AG31" s="792"/>
      <c r="AH31" s="792"/>
      <c r="AI31" s="792"/>
      <c r="AJ31" s="792"/>
      <c r="AK31" s="792"/>
      <c r="AL31" s="792"/>
      <c r="AM31" s="792"/>
      <c r="AN31" s="792"/>
      <c r="AO31" s="792"/>
      <c r="AP31" s="792">
        <f t="shared" ref="AP31:AX31" si="198">SUM(AP5:AP30)</f>
        <v>181.36999999999998</v>
      </c>
      <c r="AQ31" s="792">
        <f t="shared" si="198"/>
        <v>47.150000000000006</v>
      </c>
      <c r="AR31" s="792">
        <f t="shared" si="198"/>
        <v>0.80604399501662505</v>
      </c>
      <c r="AS31" s="792">
        <f t="shared" si="198"/>
        <v>0.75231800272534999</v>
      </c>
      <c r="AT31" s="792">
        <f t="shared" si="198"/>
        <v>358.15682570181156</v>
      </c>
      <c r="AU31" s="792">
        <f t="shared" si="198"/>
        <v>7.6221396038863751E-4</v>
      </c>
      <c r="AV31" s="792">
        <f t="shared" si="198"/>
        <v>2.0603506640177627</v>
      </c>
      <c r="AW31" s="792">
        <f t="shared" si="198"/>
        <v>0.42684552777054996</v>
      </c>
      <c r="AX31" s="792">
        <f t="shared" si="198"/>
        <v>5.0827276195197175</v>
      </c>
      <c r="BB31" s="327"/>
      <c r="BH31" s="327"/>
      <c r="BI31" s="308">
        <f t="shared" ref="BI31:CF31" si="199">SUM(BI5:BI30)</f>
        <v>2209.0470296125</v>
      </c>
      <c r="BJ31" s="308">
        <f t="shared" si="199"/>
        <v>3533.05</v>
      </c>
      <c r="BK31" s="104">
        <f t="shared" si="199"/>
        <v>6983.15</v>
      </c>
      <c r="BL31" s="104">
        <f t="shared" si="199"/>
        <v>2939.0749999999998</v>
      </c>
      <c r="BM31" s="104">
        <f t="shared" si="199"/>
        <v>808.26</v>
      </c>
      <c r="BN31" s="104">
        <f t="shared" si="199"/>
        <v>315.63</v>
      </c>
      <c r="BO31" s="104">
        <f t="shared" si="199"/>
        <v>312</v>
      </c>
      <c r="BP31" s="104">
        <f t="shared" si="199"/>
        <v>156</v>
      </c>
      <c r="BQ31" s="104">
        <f t="shared" si="199"/>
        <v>0</v>
      </c>
      <c r="BR31" s="104">
        <f t="shared" si="199"/>
        <v>0</v>
      </c>
      <c r="BS31" s="104">
        <f t="shared" si="199"/>
        <v>2406.81</v>
      </c>
      <c r="BT31" s="104">
        <f t="shared" si="199"/>
        <v>0</v>
      </c>
      <c r="BU31" s="104">
        <f t="shared" si="199"/>
        <v>2211.9444282250001</v>
      </c>
      <c r="BV31" s="104">
        <f t="shared" si="199"/>
        <v>0</v>
      </c>
      <c r="BW31" s="104">
        <f t="shared" si="199"/>
        <v>109.1526013875</v>
      </c>
      <c r="BX31" s="104">
        <f t="shared" si="199"/>
        <v>3420</v>
      </c>
      <c r="BY31" s="104">
        <f t="shared" si="199"/>
        <v>0</v>
      </c>
      <c r="BZ31" s="104">
        <f t="shared" si="199"/>
        <v>51.403999999999996</v>
      </c>
      <c r="CA31" s="104">
        <f t="shared" si="199"/>
        <v>0</v>
      </c>
      <c r="CB31" s="104">
        <f t="shared" si="199"/>
        <v>0</v>
      </c>
      <c r="CC31" s="104">
        <f t="shared" si="199"/>
        <v>0</v>
      </c>
      <c r="CD31" s="104">
        <f t="shared" si="199"/>
        <v>0</v>
      </c>
      <c r="CE31" s="104">
        <f t="shared" si="199"/>
        <v>0</v>
      </c>
      <c r="CF31" s="104">
        <f t="shared" si="199"/>
        <v>202.50849791250002</v>
      </c>
    </row>
    <row r="32" spans="1:84" s="326" customFormat="1">
      <c r="D32" s="852"/>
      <c r="E32" s="325"/>
      <c r="N32" s="327"/>
      <c r="O32" s="327"/>
      <c r="R32" s="338"/>
      <c r="T32" s="338"/>
      <c r="U32" s="327"/>
      <c r="V32" s="327"/>
      <c r="W32" s="327"/>
      <c r="X32" s="327"/>
      <c r="Y32" s="327"/>
      <c r="Z32" s="327"/>
      <c r="BB32" s="327"/>
      <c r="BH32" s="327"/>
      <c r="BI32" s="308">
        <f>BI31/T31</f>
        <v>0.38471085009888367</v>
      </c>
      <c r="BJ32" s="308" t="b">
        <f>IF(O32&gt;=50,T32)</f>
        <v>0</v>
      </c>
      <c r="BK32" s="329" t="e">
        <f>BK31/$E$419</f>
        <v>#DIV/0!</v>
      </c>
      <c r="BL32" s="329">
        <f>BL31/BK31</f>
        <v>0.42088097778223293</v>
      </c>
      <c r="BM32" s="329" t="e">
        <f>BM31/$E$419</f>
        <v>#DIV/0!</v>
      </c>
      <c r="BN32" s="329">
        <f>BN31/BM31</f>
        <v>0.39050553039863412</v>
      </c>
      <c r="BO32" s="329" t="e">
        <f>BO31/$E$419</f>
        <v>#DIV/0!</v>
      </c>
      <c r="BP32" s="329">
        <f>BP31/BO31</f>
        <v>0.5</v>
      </c>
      <c r="BQ32" s="329" t="e">
        <f>BQ31/$E$419</f>
        <v>#DIV/0!</v>
      </c>
      <c r="BR32" s="329" t="e">
        <f>BR31/BQ31</f>
        <v>#DIV/0!</v>
      </c>
      <c r="BS32" s="329" t="e">
        <f>BS31/$E$419</f>
        <v>#DIV/0!</v>
      </c>
      <c r="BT32" s="329">
        <f>BT31/BS31</f>
        <v>0</v>
      </c>
      <c r="BU32" s="110"/>
      <c r="BV32" s="110"/>
      <c r="BW32" s="110"/>
      <c r="BX32" s="110"/>
      <c r="BY32" s="110"/>
      <c r="BZ32" s="110"/>
      <c r="CA32" s="110"/>
      <c r="CB32" s="110"/>
      <c r="CC32" s="110"/>
      <c r="CD32" s="110"/>
      <c r="CE32" s="110"/>
      <c r="CF32" s="110"/>
    </row>
    <row r="33" spans="4:84" s="326" customFormat="1">
      <c r="D33" s="852"/>
      <c r="E33" s="325"/>
      <c r="N33" s="327"/>
      <c r="O33" s="327"/>
      <c r="R33" s="338"/>
      <c r="T33" s="338"/>
      <c r="U33" s="327"/>
      <c r="V33" s="327"/>
      <c r="W33" s="327"/>
      <c r="X33" s="327"/>
      <c r="Y33" s="327"/>
      <c r="Z33" s="327"/>
      <c r="BB33" s="327"/>
      <c r="BH33" s="327"/>
      <c r="BI33" s="308">
        <f>IF(O33&lt;50,T33)</f>
        <v>0</v>
      </c>
      <c r="BJ33" s="308" t="b">
        <f>IF(O33&gt;=50,T33)</f>
        <v>0</v>
      </c>
      <c r="BK33" s="110" t="e">
        <f>#REF!-#REF!</f>
        <v>#REF!</v>
      </c>
      <c r="BL33" s="110"/>
      <c r="BM33" s="110"/>
      <c r="BN33" s="110"/>
      <c r="BO33" s="110"/>
      <c r="BP33" s="110"/>
      <c r="BQ33" s="110"/>
      <c r="BR33" s="110"/>
      <c r="BS33" s="110"/>
      <c r="BT33" s="110"/>
      <c r="BU33" s="110"/>
      <c r="BV33" s="110"/>
      <c r="BW33" s="110"/>
      <c r="BX33" s="110"/>
      <c r="BY33" s="110"/>
      <c r="BZ33" s="110"/>
      <c r="CA33" s="110"/>
      <c r="CB33" s="110"/>
      <c r="CC33" s="110"/>
      <c r="CD33" s="110"/>
      <c r="CE33" s="110"/>
      <c r="CF33" s="110"/>
    </row>
    <row r="34" spans="4:84" s="326" customFormat="1" ht="14.25" customHeight="1">
      <c r="D34" s="1003" t="s">
        <v>541</v>
      </c>
      <c r="E34" s="1003"/>
      <c r="F34" s="1003"/>
      <c r="G34" s="619"/>
      <c r="N34" s="327"/>
      <c r="O34" s="327"/>
      <c r="R34" s="338"/>
      <c r="T34" s="338"/>
      <c r="U34" s="327"/>
      <c r="V34" s="327"/>
      <c r="W34" s="327"/>
      <c r="X34" s="327"/>
      <c r="Y34" s="327"/>
      <c r="Z34" s="327"/>
      <c r="BB34" s="327"/>
      <c r="BH34" s="327"/>
      <c r="BI34" s="308">
        <f>IF(O34&lt;50,T34)</f>
        <v>0</v>
      </c>
      <c r="BJ34" s="308" t="b">
        <f>IF(O34&gt;=50,T34)</f>
        <v>0</v>
      </c>
      <c r="BK34" s="110"/>
      <c r="BL34" s="110"/>
      <c r="BM34" s="110"/>
      <c r="BN34" s="110"/>
      <c r="BO34" s="110"/>
      <c r="BP34" s="110"/>
      <c r="BQ34" s="110"/>
      <c r="BR34" s="110"/>
      <c r="BS34" s="110"/>
      <c r="BT34" s="110"/>
      <c r="BU34" s="110"/>
      <c r="BV34" s="110"/>
      <c r="BW34" s="110"/>
      <c r="BX34" s="110"/>
      <c r="BY34" s="110"/>
      <c r="BZ34" s="110"/>
      <c r="CA34" s="110"/>
      <c r="CB34" s="110"/>
      <c r="CC34" s="110"/>
      <c r="CD34" s="110"/>
      <c r="CE34" s="110"/>
      <c r="CF34" s="110"/>
    </row>
    <row r="35" spans="4:84" s="326" customFormat="1" ht="13.8">
      <c r="D35" s="853" t="s">
        <v>292</v>
      </c>
      <c r="E35" s="853" t="s">
        <v>375</v>
      </c>
      <c r="F35" s="796" t="s">
        <v>542</v>
      </c>
      <c r="G35" s="620"/>
      <c r="N35" s="327"/>
      <c r="O35" s="327"/>
      <c r="R35" s="338"/>
      <c r="T35" s="338"/>
      <c r="U35" s="327"/>
      <c r="V35" s="327"/>
      <c r="W35" s="327"/>
      <c r="X35" s="327"/>
      <c r="Y35" s="327"/>
      <c r="Z35" s="327"/>
      <c r="BB35" s="327"/>
      <c r="BH35" s="327"/>
      <c r="BI35" s="308"/>
      <c r="BJ35" s="308"/>
      <c r="BK35" s="1004" t="s">
        <v>124</v>
      </c>
      <c r="BL35" s="1005"/>
      <c r="BM35" s="1006"/>
      <c r="BN35" s="375" t="s">
        <v>119</v>
      </c>
      <c r="BO35" s="110"/>
      <c r="BP35" s="110"/>
      <c r="BQ35" s="110" t="s">
        <v>126</v>
      </c>
      <c r="BR35" s="110"/>
      <c r="BS35" s="110"/>
      <c r="BT35" s="110" t="s">
        <v>127</v>
      </c>
      <c r="BU35" s="110" t="s">
        <v>278</v>
      </c>
      <c r="BV35" s="110"/>
      <c r="BW35" s="110"/>
      <c r="BX35" s="110"/>
      <c r="BY35" s="110"/>
      <c r="BZ35" s="110"/>
      <c r="CA35" s="110"/>
      <c r="CB35" s="110"/>
      <c r="CC35" s="110"/>
      <c r="CD35" s="110"/>
      <c r="CE35" s="110"/>
      <c r="CF35" s="110"/>
    </row>
    <row r="36" spans="4:84" s="326" customFormat="1" ht="13.8">
      <c r="D36" s="854" t="s">
        <v>8</v>
      </c>
      <c r="E36" s="850">
        <f t="shared" ref="E36:E43" si="200">SUMIFS($T$5:$T$30,$L$5:$L$30,D36)</f>
        <v>2211.9444282250001</v>
      </c>
      <c r="F36" s="337">
        <f t="shared" ref="F36:F43" si="201">E36/$E$44</f>
        <v>0.38521543903173494</v>
      </c>
      <c r="G36" s="621"/>
      <c r="N36" s="327"/>
      <c r="O36" s="327"/>
      <c r="Q36" s="338"/>
      <c r="R36" s="338"/>
      <c r="T36" s="338"/>
      <c r="U36" s="327"/>
      <c r="V36" s="327"/>
      <c r="W36" s="327"/>
      <c r="X36" s="327"/>
      <c r="Y36" s="327"/>
      <c r="Z36" s="327"/>
      <c r="BB36" s="327"/>
      <c r="BH36" s="327"/>
      <c r="BI36" s="308"/>
      <c r="BJ36" s="308"/>
      <c r="BK36" s="376" t="s">
        <v>8</v>
      </c>
      <c r="BL36" s="375">
        <f>BU31+CA31</f>
        <v>2211.9444282250001</v>
      </c>
      <c r="BM36" s="330">
        <f>BL36/$BL$43</f>
        <v>0.85900436661725132</v>
      </c>
      <c r="BN36" s="331">
        <f>BM36*$BN$43</f>
        <v>5867.2774065538497</v>
      </c>
      <c r="BO36" s="110"/>
      <c r="BP36" s="110"/>
      <c r="BQ36" s="376" t="s">
        <v>114</v>
      </c>
      <c r="BR36" s="377">
        <f>BK31</f>
        <v>6983.15</v>
      </c>
      <c r="BS36" s="618">
        <f>BR36/$BR$41</f>
        <v>0.66441520729347248</v>
      </c>
      <c r="BT36" s="618">
        <f>BL32</f>
        <v>0.42088097778223293</v>
      </c>
      <c r="BU36" s="332"/>
      <c r="BV36" s="110"/>
      <c r="BW36" s="110"/>
      <c r="BX36" s="110"/>
      <c r="BY36" s="110"/>
      <c r="BZ36" s="110"/>
      <c r="CA36" s="110"/>
      <c r="CB36" s="110"/>
      <c r="CC36" s="110"/>
      <c r="CD36" s="110"/>
      <c r="CE36" s="110"/>
      <c r="CF36" s="110"/>
    </row>
    <row r="37" spans="4:84" s="326" customFormat="1">
      <c r="D37" s="854" t="s">
        <v>26</v>
      </c>
      <c r="E37" s="850">
        <f t="shared" si="200"/>
        <v>0</v>
      </c>
      <c r="F37" s="337">
        <f t="shared" si="201"/>
        <v>0</v>
      </c>
      <c r="G37" s="463"/>
      <c r="N37" s="327"/>
      <c r="O37" s="327"/>
      <c r="R37" s="338"/>
      <c r="T37" s="338"/>
      <c r="U37" s="327"/>
      <c r="V37" s="327"/>
      <c r="W37" s="327"/>
      <c r="X37" s="327"/>
      <c r="Y37" s="327"/>
      <c r="Z37" s="327"/>
      <c r="BB37" s="327"/>
      <c r="BH37" s="327"/>
      <c r="BI37" s="308"/>
      <c r="BJ37" s="308"/>
      <c r="BK37" s="376" t="s">
        <v>116</v>
      </c>
      <c r="BL37" s="375">
        <f>BV31+CB31</f>
        <v>0</v>
      </c>
      <c r="BM37" s="330">
        <f>BL37/$BL$43</f>
        <v>0</v>
      </c>
      <c r="BN37" s="331">
        <f t="shared" ref="BN37:BN42" si="202">BM37*$BN$43</f>
        <v>0</v>
      </c>
      <c r="BO37" s="110"/>
      <c r="BP37" s="110"/>
      <c r="BQ37" s="333" t="s">
        <v>38</v>
      </c>
      <c r="BR37" s="377">
        <f>BM31</f>
        <v>808.26</v>
      </c>
      <c r="BS37" s="618">
        <f t="shared" ref="BS37:BS40" si="203">BR37/$BR$41</f>
        <v>7.6902291293617073E-2</v>
      </c>
      <c r="BT37" s="618">
        <f>BN32</f>
        <v>0.39050553039863412</v>
      </c>
      <c r="BU37" s="332"/>
      <c r="BV37" s="110"/>
      <c r="BW37" s="110"/>
      <c r="BX37" s="110"/>
      <c r="BY37" s="110"/>
      <c r="BZ37" s="110"/>
      <c r="CA37" s="110"/>
      <c r="CB37" s="110"/>
      <c r="CC37" s="110"/>
      <c r="CD37" s="110"/>
      <c r="CE37" s="110"/>
      <c r="CF37" s="110"/>
    </row>
    <row r="38" spans="4:84" s="326" customFormat="1">
      <c r="D38" s="854" t="s">
        <v>79</v>
      </c>
      <c r="E38" s="850">
        <f t="shared" si="200"/>
        <v>109.1526013875</v>
      </c>
      <c r="F38" s="337">
        <f t="shared" si="201"/>
        <v>1.9009187902013922E-2</v>
      </c>
      <c r="N38" s="327"/>
      <c r="O38" s="327"/>
      <c r="R38" s="338"/>
      <c r="T38" s="338"/>
      <c r="U38" s="327"/>
      <c r="V38" s="327"/>
      <c r="W38" s="327"/>
      <c r="X38" s="327"/>
      <c r="Y38" s="327"/>
      <c r="Z38" s="327"/>
      <c r="BB38" s="327"/>
      <c r="BH38" s="327"/>
      <c r="BI38" s="308"/>
      <c r="BJ38" s="308"/>
      <c r="BK38" s="376" t="s">
        <v>79</v>
      </c>
      <c r="BL38" s="375">
        <f>BW31+CC31</f>
        <v>109.1526013875</v>
      </c>
      <c r="BM38" s="330">
        <f t="shared" ref="BM38:BM42" si="204">BL38/$BL$43</f>
        <v>4.2389202921673565E-2</v>
      </c>
      <c r="BN38" s="331">
        <f t="shared" si="202"/>
        <v>289.5319537938737</v>
      </c>
      <c r="BO38" s="110"/>
      <c r="BP38" s="110"/>
      <c r="BQ38" s="333" t="s">
        <v>40</v>
      </c>
      <c r="BR38" s="377">
        <f>BO31</f>
        <v>312</v>
      </c>
      <c r="BS38" s="618">
        <f t="shared" si="203"/>
        <v>2.9685391932804454E-2</v>
      </c>
      <c r="BT38" s="618">
        <f>BP32</f>
        <v>0.5</v>
      </c>
      <c r="BU38" s="332"/>
      <c r="BV38" s="110"/>
      <c r="BW38" s="110"/>
      <c r="BX38" s="110"/>
      <c r="BY38" s="110"/>
      <c r="BZ38" s="110"/>
      <c r="CA38" s="110"/>
      <c r="CB38" s="110"/>
      <c r="CC38" s="110"/>
      <c r="CD38" s="110"/>
      <c r="CE38" s="110"/>
      <c r="CF38" s="110"/>
    </row>
    <row r="39" spans="4:84" s="326" customFormat="1">
      <c r="D39" s="854" t="s">
        <v>27</v>
      </c>
      <c r="E39" s="850">
        <f t="shared" si="200"/>
        <v>3420</v>
      </c>
      <c r="F39" s="337">
        <f t="shared" si="201"/>
        <v>0.59560122066254872</v>
      </c>
      <c r="N39" s="327"/>
      <c r="O39" s="327"/>
      <c r="R39" s="338"/>
      <c r="T39" s="338"/>
      <c r="U39" s="327"/>
      <c r="V39" s="327"/>
      <c r="W39" s="327"/>
      <c r="X39" s="327"/>
      <c r="Y39" s="327"/>
      <c r="Z39" s="327"/>
      <c r="BB39" s="327"/>
      <c r="BH39" s="327"/>
      <c r="BI39" s="308"/>
      <c r="BJ39" s="308"/>
      <c r="BK39" s="376" t="s">
        <v>27</v>
      </c>
      <c r="BL39" s="375">
        <v>0</v>
      </c>
      <c r="BM39" s="330">
        <f t="shared" si="204"/>
        <v>0</v>
      </c>
      <c r="BN39" s="331">
        <f t="shared" si="202"/>
        <v>0</v>
      </c>
      <c r="BO39" s="110"/>
      <c r="BP39" s="110"/>
      <c r="BQ39" s="333" t="s">
        <v>42</v>
      </c>
      <c r="BR39" s="377">
        <f>BQ31</f>
        <v>0</v>
      </c>
      <c r="BS39" s="618">
        <f t="shared" si="203"/>
        <v>0</v>
      </c>
      <c r="BT39" s="618" t="e">
        <f>BR32</f>
        <v>#DIV/0!</v>
      </c>
      <c r="BU39" s="332"/>
      <c r="BV39" s="110"/>
      <c r="BW39" s="110"/>
      <c r="BX39" s="110"/>
      <c r="BY39" s="110"/>
      <c r="BZ39" s="110"/>
      <c r="CA39" s="110"/>
      <c r="CB39" s="110"/>
      <c r="CC39" s="110"/>
      <c r="CD39" s="110"/>
      <c r="CE39" s="110"/>
      <c r="CF39" s="110"/>
    </row>
    <row r="40" spans="4:84" s="326" customFormat="1">
      <c r="D40" s="854" t="s">
        <v>7</v>
      </c>
      <c r="E40" s="850">
        <f t="shared" si="200"/>
        <v>0</v>
      </c>
      <c r="F40" s="337">
        <f t="shared" si="201"/>
        <v>0</v>
      </c>
      <c r="N40" s="327"/>
      <c r="O40" s="327"/>
      <c r="R40" s="338"/>
      <c r="T40" s="338"/>
      <c r="U40" s="327"/>
      <c r="V40" s="327"/>
      <c r="W40" s="327"/>
      <c r="X40" s="327"/>
      <c r="Y40" s="327"/>
      <c r="Z40" s="327"/>
      <c r="BB40" s="327"/>
      <c r="BH40" s="327"/>
      <c r="BI40" s="308"/>
      <c r="BJ40" s="308"/>
      <c r="BK40" s="376" t="s">
        <v>117</v>
      </c>
      <c r="BL40" s="375">
        <v>0</v>
      </c>
      <c r="BM40" s="330">
        <f t="shared" si="204"/>
        <v>0</v>
      </c>
      <c r="BN40" s="331">
        <f t="shared" si="202"/>
        <v>0</v>
      </c>
      <c r="BO40" s="110"/>
      <c r="BP40" s="110"/>
      <c r="BQ40" s="333" t="s">
        <v>44</v>
      </c>
      <c r="BR40" s="377">
        <f>BS31</f>
        <v>2406.81</v>
      </c>
      <c r="BS40" s="618">
        <f t="shared" si="203"/>
        <v>0.22899710948010604</v>
      </c>
      <c r="BT40" s="618">
        <f>BT32</f>
        <v>0</v>
      </c>
      <c r="BU40" s="332"/>
      <c r="BV40" s="110"/>
      <c r="BW40" s="110"/>
      <c r="BX40" s="110"/>
      <c r="BY40" s="110"/>
      <c r="BZ40" s="110"/>
      <c r="CA40" s="110"/>
      <c r="CB40" s="110"/>
      <c r="CC40" s="110"/>
      <c r="CD40" s="110"/>
      <c r="CE40" s="110"/>
      <c r="CF40" s="110"/>
    </row>
    <row r="41" spans="4:84" s="326" customFormat="1">
      <c r="D41" s="854" t="s">
        <v>313</v>
      </c>
      <c r="E41" s="850">
        <f t="shared" si="200"/>
        <v>1</v>
      </c>
      <c r="F41" s="337">
        <f t="shared" si="201"/>
        <v>1.7415240370249963E-4</v>
      </c>
      <c r="N41" s="327"/>
      <c r="O41" s="327"/>
      <c r="R41" s="338"/>
      <c r="T41" s="338"/>
      <c r="U41" s="327"/>
      <c r="V41" s="327"/>
      <c r="W41" s="327"/>
      <c r="X41" s="327"/>
      <c r="Y41" s="327"/>
      <c r="Z41" s="327"/>
      <c r="BB41" s="327"/>
      <c r="BH41" s="327"/>
      <c r="BI41" s="308"/>
      <c r="BJ41" s="308"/>
      <c r="BK41" s="97" t="str">
        <f>D41</f>
        <v>energia el.</v>
      </c>
      <c r="BL41" s="300">
        <f>BZ31+CF31</f>
        <v>253.91249791250002</v>
      </c>
      <c r="BM41" s="330">
        <f t="shared" si="204"/>
        <v>9.8606430461075201E-2</v>
      </c>
      <c r="BN41" s="331">
        <f t="shared" si="202"/>
        <v>673.51378417727688</v>
      </c>
      <c r="BO41" s="110"/>
      <c r="BP41" s="110"/>
      <c r="BQ41" s="313"/>
      <c r="BR41" s="109">
        <f>SUM(BR36:BR40)</f>
        <v>10510.22</v>
      </c>
      <c r="BS41" s="332">
        <f>SUM(BS36:BS40)</f>
        <v>1</v>
      </c>
      <c r="BT41" s="319"/>
      <c r="BU41" s="110"/>
      <c r="BV41" s="110"/>
      <c r="BW41" s="110"/>
      <c r="BX41" s="110"/>
      <c r="BY41" s="110"/>
      <c r="BZ41" s="110"/>
      <c r="CA41" s="110"/>
      <c r="CB41" s="110"/>
      <c r="CC41" s="110"/>
      <c r="CD41" s="110"/>
      <c r="CE41" s="110"/>
      <c r="CF41" s="110"/>
    </row>
    <row r="42" spans="4:84" s="326" customFormat="1">
      <c r="D42" s="854" t="s">
        <v>3</v>
      </c>
      <c r="E42" s="850">
        <f t="shared" si="200"/>
        <v>0</v>
      </c>
      <c r="F42" s="337">
        <f t="shared" si="201"/>
        <v>0</v>
      </c>
      <c r="N42" s="327"/>
      <c r="O42" s="327"/>
      <c r="R42" s="338"/>
      <c r="T42" s="338"/>
      <c r="U42" s="327"/>
      <c r="V42" s="327"/>
      <c r="W42" s="327"/>
      <c r="X42" s="327"/>
      <c r="Y42" s="327"/>
      <c r="Z42" s="327"/>
      <c r="BB42" s="327"/>
      <c r="BH42" s="327"/>
      <c r="BI42" s="308"/>
      <c r="BJ42" s="308"/>
      <c r="BK42" s="97" t="s">
        <v>128</v>
      </c>
      <c r="BL42" s="300">
        <f>BA31*1.8*520*3.6/1000</f>
        <v>0</v>
      </c>
      <c r="BM42" s="330">
        <f t="shared" si="204"/>
        <v>0</v>
      </c>
      <c r="BN42" s="331">
        <f t="shared" si="202"/>
        <v>0</v>
      </c>
      <c r="BO42" s="110"/>
      <c r="BP42" s="110"/>
      <c r="BQ42" s="319"/>
      <c r="BR42" s="110"/>
      <c r="BS42" s="334"/>
      <c r="BT42" s="319"/>
      <c r="BU42" s="110"/>
      <c r="BV42" s="110"/>
      <c r="BW42" s="110"/>
      <c r="BX42" s="110"/>
      <c r="BY42" s="110"/>
      <c r="BZ42" s="110"/>
      <c r="CA42" s="110"/>
      <c r="CB42" s="110"/>
      <c r="CC42" s="110"/>
      <c r="CD42" s="110"/>
      <c r="CE42" s="110"/>
      <c r="CF42" s="110"/>
    </row>
    <row r="43" spans="4:84" s="326" customFormat="1">
      <c r="D43" s="854" t="s">
        <v>352</v>
      </c>
      <c r="E43" s="850">
        <f t="shared" si="200"/>
        <v>0</v>
      </c>
      <c r="F43" s="337">
        <f t="shared" si="201"/>
        <v>0</v>
      </c>
      <c r="N43" s="327"/>
      <c r="O43" s="327"/>
      <c r="R43" s="338"/>
      <c r="T43" s="338"/>
      <c r="U43" s="327"/>
      <c r="V43" s="327"/>
      <c r="W43" s="327"/>
      <c r="X43" s="327"/>
      <c r="Y43" s="327"/>
      <c r="Z43" s="327"/>
      <c r="BB43" s="327"/>
      <c r="BH43" s="327"/>
      <c r="BI43" s="308"/>
      <c r="BJ43" s="308"/>
      <c r="BK43" s="300" t="s">
        <v>119</v>
      </c>
      <c r="BL43" s="302">
        <f>SUM(BL36:BL42)</f>
        <v>2575.0095275250001</v>
      </c>
      <c r="BM43" s="330">
        <f>SUM(BM36:BM42)</f>
        <v>1</v>
      </c>
      <c r="BN43" s="335">
        <f>Q31</f>
        <v>6830.3231445249994</v>
      </c>
      <c r="BO43" s="110"/>
      <c r="BP43" s="110"/>
      <c r="BQ43" s="313"/>
      <c r="BR43" s="110"/>
      <c r="BS43" s="110"/>
      <c r="BT43" s="319"/>
      <c r="BU43" s="110"/>
      <c r="BV43" s="110"/>
      <c r="BW43" s="110"/>
      <c r="BX43" s="110"/>
      <c r="BY43" s="110"/>
      <c r="BZ43" s="110"/>
      <c r="CA43" s="110"/>
      <c r="CB43" s="110"/>
      <c r="CC43" s="110"/>
      <c r="CD43" s="110"/>
      <c r="CE43" s="110"/>
      <c r="CF43" s="110"/>
    </row>
    <row r="44" spans="4:84" s="326" customFormat="1" ht="10.199999999999999">
      <c r="D44" s="850"/>
      <c r="E44" s="850">
        <f>SUM(E36:E43)</f>
        <v>5742.0970296124997</v>
      </c>
      <c r="F44" s="612">
        <f>SUM(F36:F43)</f>
        <v>1</v>
      </c>
      <c r="N44" s="327"/>
      <c r="O44" s="327"/>
      <c r="R44" s="338"/>
      <c r="T44" s="338"/>
      <c r="U44" s="327"/>
      <c r="V44" s="327"/>
      <c r="W44" s="327"/>
      <c r="X44" s="327"/>
      <c r="Y44" s="327"/>
      <c r="Z44" s="327"/>
      <c r="BB44" s="327"/>
      <c r="BH44" s="505"/>
      <c r="BI44" s="308"/>
      <c r="BJ44" s="308"/>
      <c r="BK44" s="110"/>
      <c r="BL44" s="110"/>
      <c r="BM44" s="110"/>
      <c r="BN44" s="110"/>
      <c r="BO44" s="110"/>
      <c r="BP44" s="110"/>
      <c r="BQ44" s="110"/>
      <c r="BR44" s="373"/>
      <c r="BS44" s="373"/>
      <c r="BT44" s="319"/>
      <c r="BU44" s="110"/>
      <c r="BV44" s="110"/>
      <c r="BW44" s="110"/>
      <c r="BX44" s="110"/>
      <c r="BY44" s="110"/>
      <c r="BZ44" s="110"/>
      <c r="CA44" s="110"/>
      <c r="CB44" s="110"/>
      <c r="CC44" s="110"/>
      <c r="CD44" s="110"/>
      <c r="CE44" s="110"/>
      <c r="CF44" s="110"/>
    </row>
    <row r="45" spans="4:84" s="326" customFormat="1">
      <c r="D45" s="327"/>
      <c r="E45" s="327"/>
      <c r="N45" s="327"/>
      <c r="O45" s="327"/>
      <c r="T45" s="338"/>
      <c r="U45" s="327"/>
      <c r="V45" s="327"/>
      <c r="W45" s="327"/>
      <c r="X45" s="327"/>
      <c r="Y45" s="327"/>
      <c r="Z45" s="327"/>
      <c r="BB45" s="327"/>
      <c r="BH45" s="327"/>
      <c r="BI45" s="308"/>
      <c r="BJ45" s="308"/>
      <c r="BK45" s="319"/>
      <c r="BL45" s="319"/>
      <c r="BM45" s="319"/>
      <c r="BN45" s="319"/>
      <c r="BO45" s="319"/>
      <c r="BP45" s="319"/>
      <c r="BQ45" s="319"/>
      <c r="BR45" s="319"/>
      <c r="BS45" s="319"/>
      <c r="BT45" s="319"/>
      <c r="BU45" s="110"/>
      <c r="BV45" s="110"/>
      <c r="BW45" s="110"/>
      <c r="BX45" s="110"/>
      <c r="BY45" s="110"/>
      <c r="BZ45" s="110"/>
      <c r="CA45" s="110"/>
      <c r="CB45" s="110"/>
      <c r="CC45" s="110"/>
      <c r="CD45" s="110"/>
      <c r="CE45" s="110"/>
      <c r="CF45" s="110"/>
    </row>
    <row r="46" spans="4:84" s="326" customFormat="1">
      <c r="D46" s="852"/>
      <c r="E46" s="325"/>
      <c r="N46" s="327"/>
      <c r="O46" s="327"/>
      <c r="T46" s="338"/>
      <c r="U46" s="327"/>
      <c r="V46" s="327"/>
      <c r="W46" s="327"/>
      <c r="X46" s="327"/>
      <c r="Y46" s="327"/>
      <c r="Z46" s="327"/>
      <c r="BB46" s="327"/>
      <c r="BH46" s="327"/>
      <c r="BI46" s="308"/>
      <c r="BJ46" s="308"/>
      <c r="BK46" s="319"/>
      <c r="BL46" s="319"/>
      <c r="BM46" s="319"/>
      <c r="BN46" s="319"/>
      <c r="BO46" s="319"/>
      <c r="BP46" s="319"/>
      <c r="BQ46" s="319"/>
      <c r="BR46" s="319"/>
      <c r="BS46" s="319"/>
      <c r="BT46" s="319"/>
      <c r="BU46" s="110"/>
      <c r="BV46" s="110"/>
      <c r="BW46" s="110"/>
      <c r="BX46" s="110"/>
      <c r="BY46" s="110"/>
      <c r="BZ46" s="110"/>
      <c r="CA46" s="110"/>
      <c r="CB46" s="110"/>
      <c r="CC46" s="110"/>
      <c r="CD46" s="110"/>
      <c r="CE46" s="110"/>
      <c r="CF46" s="110"/>
    </row>
    <row r="47" spans="4:84" s="326" customFormat="1">
      <c r="D47" s="852"/>
      <c r="E47" s="325"/>
      <c r="N47" s="327"/>
      <c r="O47" s="327"/>
      <c r="U47" s="327"/>
      <c r="V47" s="327"/>
      <c r="W47" s="327"/>
      <c r="X47" s="327"/>
      <c r="Y47" s="327"/>
      <c r="Z47" s="327"/>
      <c r="BB47" s="327"/>
      <c r="BH47" s="308"/>
      <c r="BI47" s="308"/>
      <c r="BJ47" s="308"/>
      <c r="BN47" s="613"/>
      <c r="BO47" s="613"/>
      <c r="BQ47" s="319"/>
      <c r="BR47" s="319"/>
      <c r="BS47" s="614"/>
      <c r="BT47" s="319"/>
      <c r="BU47" s="319"/>
      <c r="BV47" s="110"/>
      <c r="BW47" s="110"/>
      <c r="BX47" s="110"/>
      <c r="BY47" s="110"/>
      <c r="BZ47" s="110"/>
      <c r="CA47" s="110"/>
      <c r="CB47" s="110"/>
      <c r="CC47" s="110"/>
      <c r="CD47" s="110"/>
      <c r="CE47" s="110"/>
      <c r="CF47" s="110"/>
    </row>
    <row r="48" spans="4:84" s="326" customFormat="1">
      <c r="D48" s="852"/>
      <c r="E48" s="325"/>
      <c r="N48" s="327"/>
      <c r="O48" s="327"/>
      <c r="U48" s="327"/>
      <c r="V48" s="327"/>
      <c r="W48" s="327"/>
      <c r="X48" s="327"/>
      <c r="Y48" s="327"/>
      <c r="Z48" s="327"/>
      <c r="BB48" s="327"/>
      <c r="BH48" s="327"/>
      <c r="BI48" s="308"/>
      <c r="BQ48" s="611"/>
      <c r="BR48" s="319"/>
      <c r="BS48" s="614"/>
      <c r="BT48" s="319"/>
      <c r="BU48" s="319"/>
      <c r="BV48" s="110"/>
      <c r="BW48" s="110"/>
      <c r="BX48" s="110"/>
      <c r="BY48" s="110"/>
      <c r="BZ48" s="110"/>
      <c r="CA48" s="110"/>
      <c r="CB48" s="110"/>
      <c r="CC48" s="110"/>
      <c r="CD48" s="110"/>
      <c r="CE48" s="110"/>
      <c r="CF48" s="110"/>
    </row>
    <row r="49" spans="4:84" s="326" customFormat="1">
      <c r="D49" s="852"/>
      <c r="E49" s="325"/>
      <c r="N49" s="327"/>
      <c r="O49" s="327"/>
      <c r="U49" s="327"/>
      <c r="V49" s="327"/>
      <c r="W49" s="327"/>
      <c r="X49" s="327"/>
      <c r="Y49" s="327"/>
      <c r="Z49" s="327"/>
      <c r="BB49" s="327"/>
      <c r="BH49" s="327"/>
      <c r="BI49" s="308"/>
      <c r="BJ49" s="308"/>
      <c r="BQ49" s="611"/>
      <c r="BR49" s="611"/>
      <c r="BS49" s="614"/>
      <c r="BT49" s="485"/>
      <c r="BU49" s="319"/>
      <c r="BV49" s="110"/>
      <c r="BW49" s="110"/>
      <c r="BX49" s="110"/>
      <c r="BY49" s="110"/>
      <c r="BZ49" s="110"/>
      <c r="CA49" s="110"/>
      <c r="CB49" s="110"/>
      <c r="CC49" s="110"/>
      <c r="CD49" s="110"/>
      <c r="CE49" s="110"/>
      <c r="CF49" s="110"/>
    </row>
    <row r="50" spans="4:84" s="326" customFormat="1">
      <c r="D50" s="852"/>
      <c r="E50" s="325"/>
      <c r="N50" s="327"/>
      <c r="O50" s="327"/>
      <c r="U50" s="327"/>
      <c r="V50" s="327"/>
      <c r="W50" s="327"/>
      <c r="X50" s="327"/>
      <c r="Y50" s="327"/>
      <c r="Z50" s="327"/>
      <c r="BB50" s="327"/>
      <c r="BH50" s="327"/>
      <c r="BI50" s="308"/>
      <c r="BJ50" s="308"/>
      <c r="BQ50" s="611"/>
      <c r="BR50" s="611"/>
      <c r="BS50" s="614"/>
      <c r="BT50" s="485"/>
      <c r="BU50" s="319"/>
      <c r="BV50" s="110"/>
      <c r="BW50" s="110"/>
      <c r="BX50" s="110"/>
      <c r="BY50" s="110"/>
      <c r="BZ50" s="110"/>
      <c r="CA50" s="110"/>
      <c r="CB50" s="110"/>
      <c r="CC50" s="110"/>
      <c r="CD50" s="110"/>
      <c r="CE50" s="110"/>
      <c r="CF50" s="110"/>
    </row>
    <row r="51" spans="4:84" s="326" customFormat="1">
      <c r="D51" s="852"/>
      <c r="E51" s="325"/>
      <c r="N51" s="327"/>
      <c r="O51" s="327"/>
      <c r="U51" s="327"/>
      <c r="V51" s="327"/>
      <c r="W51" s="327"/>
      <c r="X51" s="327"/>
      <c r="Y51" s="327"/>
      <c r="Z51" s="327"/>
      <c r="BB51" s="327"/>
      <c r="BH51" s="327"/>
      <c r="BI51" s="308"/>
      <c r="BJ51" s="308"/>
      <c r="BQ51" s="611"/>
      <c r="BR51" s="611"/>
      <c r="BS51" s="614"/>
      <c r="BT51" s="485"/>
      <c r="BU51" s="319"/>
      <c r="BV51" s="110"/>
      <c r="BW51" s="110"/>
      <c r="BX51" s="110"/>
      <c r="BY51" s="110"/>
      <c r="BZ51" s="110"/>
      <c r="CA51" s="110"/>
      <c r="CB51" s="110"/>
      <c r="CC51" s="110"/>
      <c r="CD51" s="110"/>
      <c r="CE51" s="110"/>
      <c r="CF51" s="110"/>
    </row>
    <row r="52" spans="4:84" s="326" customFormat="1">
      <c r="D52" s="852"/>
      <c r="E52" s="325"/>
      <c r="N52" s="327"/>
      <c r="O52" s="327"/>
      <c r="U52" s="327"/>
      <c r="V52" s="327"/>
      <c r="W52" s="327"/>
      <c r="X52" s="327"/>
      <c r="Y52" s="327"/>
      <c r="Z52" s="327"/>
      <c r="BB52" s="327"/>
      <c r="BH52" s="327"/>
      <c r="BI52" s="308"/>
      <c r="BJ52" s="308"/>
      <c r="BQ52" s="611"/>
      <c r="BR52" s="611"/>
      <c r="BS52" s="614"/>
      <c r="BT52" s="485"/>
      <c r="BU52" s="319"/>
      <c r="BV52" s="110"/>
      <c r="BW52" s="110"/>
      <c r="BX52" s="110"/>
      <c r="BY52" s="110"/>
      <c r="BZ52" s="110"/>
      <c r="CA52" s="110"/>
      <c r="CB52" s="110"/>
      <c r="CC52" s="110"/>
      <c r="CD52" s="110"/>
      <c r="CE52" s="110"/>
      <c r="CF52" s="110"/>
    </row>
    <row r="53" spans="4:84" s="326" customFormat="1">
      <c r="D53" s="852"/>
      <c r="E53" s="325"/>
      <c r="N53" s="327"/>
      <c r="O53" s="327"/>
      <c r="U53" s="327"/>
      <c r="V53" s="327"/>
      <c r="W53" s="327"/>
      <c r="X53" s="327"/>
      <c r="Y53" s="327"/>
      <c r="Z53" s="327"/>
      <c r="BB53" s="327"/>
      <c r="BH53" s="327"/>
      <c r="BI53" s="308"/>
      <c r="BJ53" s="308"/>
      <c r="BQ53" s="611"/>
      <c r="BR53" s="611"/>
      <c r="BS53" s="614"/>
      <c r="BT53" s="485"/>
      <c r="BU53" s="319"/>
      <c r="BV53" s="110"/>
      <c r="BW53" s="110"/>
      <c r="BX53" s="110"/>
      <c r="BY53" s="110"/>
      <c r="BZ53" s="110"/>
      <c r="CA53" s="110"/>
      <c r="CB53" s="110"/>
      <c r="CC53" s="110"/>
      <c r="CD53" s="110"/>
      <c r="CE53" s="110"/>
      <c r="CF53" s="110"/>
    </row>
    <row r="54" spans="4:84" s="326" customFormat="1">
      <c r="D54" s="852"/>
      <c r="E54" s="325"/>
      <c r="N54" s="327"/>
      <c r="O54" s="327"/>
      <c r="U54" s="327"/>
      <c r="V54" s="327"/>
      <c r="W54" s="327"/>
      <c r="X54" s="327"/>
      <c r="Y54" s="327"/>
      <c r="Z54" s="327"/>
      <c r="BB54" s="327"/>
      <c r="BH54" s="327"/>
      <c r="BI54" s="308"/>
      <c r="BJ54" s="308"/>
      <c r="BQ54" s="611"/>
      <c r="BR54" s="611"/>
      <c r="BS54" s="614"/>
      <c r="BT54" s="485"/>
      <c r="BU54" s="319"/>
      <c r="BV54" s="110"/>
      <c r="BW54" s="110"/>
      <c r="BX54" s="110"/>
      <c r="BY54" s="110"/>
      <c r="BZ54" s="110"/>
      <c r="CA54" s="110"/>
      <c r="CB54" s="110"/>
      <c r="CC54" s="110"/>
      <c r="CD54" s="110"/>
      <c r="CE54" s="110"/>
      <c r="CF54" s="110"/>
    </row>
    <row r="55" spans="4:84" s="326" customFormat="1">
      <c r="D55" s="852"/>
      <c r="E55" s="325"/>
      <c r="N55" s="327"/>
      <c r="O55" s="327"/>
      <c r="U55" s="327"/>
      <c r="V55" s="327"/>
      <c r="W55" s="327"/>
      <c r="X55" s="327"/>
      <c r="Y55" s="327"/>
      <c r="Z55" s="327"/>
      <c r="BB55" s="327"/>
      <c r="BH55" s="327"/>
      <c r="BI55" s="308"/>
      <c r="BJ55" s="308"/>
      <c r="BQ55" s="611"/>
      <c r="BR55" s="611"/>
      <c r="BS55" s="614"/>
      <c r="BT55" s="485"/>
      <c r="BU55" s="319"/>
      <c r="BV55" s="110"/>
      <c r="BW55" s="110"/>
      <c r="BX55" s="110"/>
      <c r="BY55" s="110"/>
      <c r="BZ55" s="110"/>
      <c r="CA55" s="110"/>
      <c r="CB55" s="110"/>
      <c r="CC55" s="110"/>
      <c r="CD55" s="110"/>
      <c r="CE55" s="110"/>
      <c r="CF55" s="110"/>
    </row>
    <row r="56" spans="4:84" s="326" customFormat="1">
      <c r="D56" s="852"/>
      <c r="E56" s="325"/>
      <c r="N56" s="327"/>
      <c r="O56" s="327"/>
      <c r="U56" s="327"/>
      <c r="V56" s="327"/>
      <c r="W56" s="327"/>
      <c r="X56" s="327"/>
      <c r="Y56" s="327"/>
      <c r="Z56" s="327"/>
      <c r="BB56" s="327"/>
      <c r="BH56" s="327"/>
      <c r="BI56" s="308"/>
      <c r="BJ56" s="308"/>
      <c r="BQ56" s="611"/>
      <c r="BR56" s="611"/>
      <c r="BS56" s="614"/>
      <c r="BT56" s="485"/>
      <c r="BU56" s="319"/>
      <c r="BV56" s="110"/>
      <c r="BW56" s="110"/>
      <c r="BX56" s="110"/>
      <c r="BY56" s="110"/>
      <c r="BZ56" s="110"/>
      <c r="CA56" s="110"/>
      <c r="CB56" s="110"/>
      <c r="CC56" s="110"/>
      <c r="CD56" s="110"/>
      <c r="CE56" s="110"/>
      <c r="CF56" s="110"/>
    </row>
    <row r="57" spans="4:84" s="326" customFormat="1">
      <c r="D57" s="852"/>
      <c r="E57" s="325"/>
      <c r="N57" s="327"/>
      <c r="O57" s="327"/>
      <c r="U57" s="327"/>
      <c r="V57" s="327"/>
      <c r="W57" s="327"/>
      <c r="X57" s="327"/>
      <c r="Y57" s="327"/>
      <c r="Z57" s="327"/>
      <c r="BB57" s="327"/>
      <c r="BH57" s="327"/>
      <c r="BQ57" s="611"/>
      <c r="BR57" s="611"/>
      <c r="BS57" s="614"/>
      <c r="BT57" s="484"/>
      <c r="BU57" s="319"/>
      <c r="BV57" s="110"/>
      <c r="BW57" s="110"/>
      <c r="BX57" s="110"/>
      <c r="BY57" s="110"/>
      <c r="BZ57" s="110"/>
      <c r="CA57" s="110"/>
      <c r="CB57" s="110"/>
      <c r="CC57" s="110"/>
      <c r="CD57" s="110"/>
      <c r="CE57" s="110"/>
      <c r="CF57" s="110"/>
    </row>
    <row r="58" spans="4:84" s="326" customFormat="1">
      <c r="D58" s="852"/>
      <c r="E58" s="325"/>
      <c r="N58" s="327"/>
      <c r="O58" s="327"/>
      <c r="U58" s="327"/>
      <c r="V58" s="327"/>
      <c r="W58" s="327"/>
      <c r="X58" s="327"/>
      <c r="Y58" s="327"/>
      <c r="Z58" s="327"/>
      <c r="BB58" s="327"/>
      <c r="BH58" s="327"/>
      <c r="BK58" s="319"/>
      <c r="BL58" s="319"/>
      <c r="BM58" s="319"/>
      <c r="BN58" s="319"/>
      <c r="BO58" s="319"/>
      <c r="BP58" s="319"/>
      <c r="BQ58" s="319"/>
      <c r="BR58" s="319"/>
      <c r="BS58" s="319"/>
      <c r="BT58" s="319"/>
      <c r="BU58" s="110"/>
      <c r="BV58" s="110"/>
      <c r="BW58" s="110"/>
      <c r="BX58" s="110"/>
      <c r="BY58" s="110"/>
      <c r="BZ58" s="110"/>
      <c r="CA58" s="110"/>
      <c r="CB58" s="110"/>
      <c r="CC58" s="110"/>
      <c r="CD58" s="110"/>
      <c r="CE58" s="110"/>
      <c r="CF58" s="110"/>
    </row>
    <row r="59" spans="4:84" s="326" customFormat="1">
      <c r="D59" s="852"/>
      <c r="E59" s="325"/>
      <c r="N59" s="327"/>
      <c r="O59" s="327"/>
      <c r="U59" s="327"/>
      <c r="V59" s="327"/>
      <c r="W59" s="327"/>
      <c r="X59" s="327"/>
      <c r="Y59" s="327"/>
      <c r="Z59" s="327"/>
      <c r="BB59" s="327"/>
      <c r="BH59" s="327"/>
      <c r="BJ59" s="611">
        <f>440.6/E44</f>
        <v>7.6731549071321334E-2</v>
      </c>
      <c r="BK59" s="319"/>
      <c r="BL59" s="319"/>
      <c r="BM59" s="319"/>
      <c r="BN59" s="319"/>
      <c r="BO59" s="319"/>
      <c r="BP59" s="319"/>
      <c r="BQ59" s="485"/>
      <c r="BR59" s="319"/>
      <c r="BS59" s="319"/>
      <c r="BT59" s="319"/>
      <c r="BU59" s="110"/>
      <c r="BV59" s="110"/>
      <c r="BW59" s="110"/>
      <c r="BX59" s="110"/>
      <c r="BY59" s="110"/>
      <c r="BZ59" s="110"/>
      <c r="CA59" s="110"/>
      <c r="CB59" s="110"/>
      <c r="CC59" s="110"/>
      <c r="CD59" s="110"/>
      <c r="CE59" s="110"/>
      <c r="CF59" s="110"/>
    </row>
    <row r="60" spans="4:84" s="326" customFormat="1">
      <c r="D60" s="852"/>
      <c r="E60" s="325"/>
      <c r="N60" s="327"/>
      <c r="O60" s="327"/>
      <c r="U60" s="327"/>
      <c r="V60" s="327"/>
      <c r="W60" s="327"/>
      <c r="X60" s="327"/>
      <c r="Y60" s="327"/>
      <c r="Z60" s="327"/>
      <c r="BB60" s="327"/>
      <c r="BH60" s="327"/>
      <c r="BK60" s="319"/>
      <c r="BL60" s="319"/>
      <c r="BM60" s="319"/>
      <c r="BN60" s="319"/>
      <c r="BO60" s="530"/>
      <c r="BP60" s="319"/>
      <c r="BQ60" s="319"/>
      <c r="BR60" s="319"/>
      <c r="BS60" s="319"/>
      <c r="BT60" s="319"/>
      <c r="BU60" s="110"/>
      <c r="BV60" s="110"/>
      <c r="BW60" s="110"/>
      <c r="BX60" s="110"/>
      <c r="BY60" s="110"/>
      <c r="BZ60" s="110"/>
      <c r="CA60" s="110"/>
      <c r="CB60" s="110"/>
      <c r="CC60" s="110"/>
      <c r="CD60" s="110"/>
      <c r="CE60" s="110"/>
      <c r="CF60" s="110"/>
    </row>
    <row r="61" spans="4:84" s="326" customFormat="1">
      <c r="D61" s="852"/>
      <c r="E61" s="325"/>
      <c r="N61" s="327"/>
      <c r="O61" s="327"/>
      <c r="U61" s="327"/>
      <c r="V61" s="327"/>
      <c r="W61" s="327"/>
      <c r="X61" s="327"/>
      <c r="Y61" s="327"/>
      <c r="Z61" s="327"/>
      <c r="BB61" s="327"/>
      <c r="BH61" s="327"/>
      <c r="BK61" s="319"/>
      <c r="BL61" s="319"/>
      <c r="BM61" s="319"/>
      <c r="BN61" s="319"/>
      <c r="BO61" s="319"/>
      <c r="BP61" s="319"/>
      <c r="BQ61" s="319"/>
      <c r="BR61" s="319"/>
      <c r="BS61" s="319"/>
      <c r="BT61" s="319"/>
      <c r="BU61" s="110"/>
      <c r="BV61" s="110"/>
      <c r="BW61" s="110"/>
      <c r="BX61" s="110"/>
      <c r="BY61" s="110"/>
      <c r="BZ61" s="110"/>
      <c r="CA61" s="110"/>
      <c r="CB61" s="110"/>
      <c r="CC61" s="110"/>
      <c r="CD61" s="110"/>
      <c r="CE61" s="110"/>
      <c r="CF61" s="110"/>
    </row>
    <row r="62" spans="4:84" s="326" customFormat="1">
      <c r="D62" s="852"/>
      <c r="E62" s="325"/>
      <c r="N62" s="327"/>
      <c r="O62" s="327"/>
      <c r="U62" s="327"/>
      <c r="V62" s="327"/>
      <c r="W62" s="327"/>
      <c r="X62" s="327"/>
      <c r="Y62" s="327"/>
      <c r="Z62" s="327"/>
      <c r="BB62" s="327"/>
      <c r="BH62" s="327"/>
      <c r="BK62" s="319"/>
      <c r="BL62" s="319"/>
      <c r="BM62" s="319"/>
      <c r="BN62" s="319"/>
      <c r="BO62" s="319"/>
      <c r="BP62" s="319"/>
      <c r="BQ62" s="319"/>
      <c r="BR62" s="319"/>
      <c r="BS62" s="319"/>
      <c r="BT62" s="319"/>
      <c r="BU62" s="110"/>
      <c r="BV62" s="110"/>
      <c r="BW62" s="110"/>
      <c r="BX62" s="110"/>
      <c r="BY62" s="110"/>
      <c r="BZ62" s="110"/>
      <c r="CA62" s="110"/>
      <c r="CB62" s="110"/>
      <c r="CC62" s="110"/>
      <c r="CD62" s="110"/>
      <c r="CE62" s="110"/>
      <c r="CF62" s="110"/>
    </row>
    <row r="63" spans="4:84" s="326" customFormat="1">
      <c r="D63" s="852"/>
      <c r="E63" s="325"/>
      <c r="N63" s="327"/>
      <c r="O63" s="327"/>
      <c r="U63" s="327"/>
      <c r="V63" s="327"/>
      <c r="W63" s="327"/>
      <c r="X63" s="327"/>
      <c r="Y63" s="327"/>
      <c r="Z63" s="327"/>
      <c r="BB63" s="327"/>
      <c r="BH63" s="327"/>
      <c r="BK63" s="319"/>
      <c r="BL63" s="319"/>
      <c r="BM63" s="319"/>
      <c r="BN63" s="319"/>
      <c r="BO63" s="319"/>
      <c r="BP63" s="319"/>
      <c r="BQ63" s="319"/>
      <c r="BR63" s="319"/>
      <c r="BS63" s="319"/>
      <c r="BT63" s="319"/>
      <c r="BU63" s="110"/>
      <c r="BV63" s="110"/>
      <c r="BW63" s="110"/>
      <c r="BX63" s="110"/>
      <c r="BY63" s="110"/>
      <c r="BZ63" s="110"/>
      <c r="CA63" s="110"/>
      <c r="CB63" s="110"/>
      <c r="CC63" s="110"/>
      <c r="CD63" s="110"/>
      <c r="CE63" s="110"/>
      <c r="CF63" s="110"/>
    </row>
    <row r="64" spans="4:84" s="326" customFormat="1" ht="6.6">
      <c r="D64" s="852"/>
      <c r="E64" s="325"/>
      <c r="N64" s="327"/>
      <c r="O64" s="327"/>
      <c r="U64" s="327"/>
      <c r="V64" s="327"/>
      <c r="W64" s="327"/>
      <c r="X64" s="327"/>
      <c r="Y64" s="327"/>
      <c r="Z64" s="327"/>
      <c r="BB64" s="327"/>
      <c r="BH64" s="327"/>
    </row>
    <row r="65" spans="4:84" s="326" customFormat="1" ht="6.6">
      <c r="D65" s="852"/>
      <c r="E65" s="325"/>
      <c r="N65" s="327"/>
      <c r="O65" s="327"/>
      <c r="U65" s="327"/>
      <c r="V65" s="327"/>
      <c r="W65" s="327"/>
      <c r="X65" s="327"/>
      <c r="Y65" s="327"/>
      <c r="Z65" s="327"/>
      <c r="BB65" s="327"/>
      <c r="BH65" s="327"/>
    </row>
    <row r="66" spans="4:84" s="326" customFormat="1">
      <c r="D66" s="852"/>
      <c r="E66" s="325"/>
      <c r="N66" s="327"/>
      <c r="O66" s="327"/>
      <c r="U66" s="327"/>
      <c r="V66" s="327"/>
      <c r="W66" s="327"/>
      <c r="X66" s="327"/>
      <c r="Y66" s="327"/>
      <c r="Z66" s="327"/>
      <c r="BB66" s="327"/>
      <c r="BH66" s="327"/>
      <c r="BK66" s="110"/>
      <c r="BL66" s="110"/>
      <c r="BM66" s="110"/>
      <c r="BN66" s="110"/>
      <c r="BO66" s="110"/>
      <c r="BP66" s="110"/>
      <c r="BQ66" s="110"/>
      <c r="BR66" s="110"/>
      <c r="BS66" s="110"/>
      <c r="BT66" s="110"/>
      <c r="BU66" s="110"/>
      <c r="BV66" s="110"/>
      <c r="BW66" s="110"/>
      <c r="BX66" s="110"/>
      <c r="BY66" s="110"/>
      <c r="BZ66" s="110"/>
      <c r="CA66" s="110"/>
      <c r="CB66" s="110"/>
      <c r="CC66" s="110"/>
      <c r="CD66" s="110"/>
      <c r="CE66" s="110"/>
      <c r="CF66" s="110"/>
    </row>
    <row r="67" spans="4:84" s="326" customFormat="1">
      <c r="D67" s="852"/>
      <c r="E67" s="325"/>
      <c r="N67" s="327"/>
      <c r="O67" s="327"/>
      <c r="U67" s="327"/>
      <c r="V67" s="327"/>
      <c r="W67" s="327"/>
      <c r="X67" s="327"/>
      <c r="Y67" s="327"/>
      <c r="Z67" s="327"/>
      <c r="BB67" s="327"/>
      <c r="BH67" s="327"/>
      <c r="BK67" s="110"/>
      <c r="BL67" s="110"/>
      <c r="BM67" s="110"/>
      <c r="BN67" s="110"/>
      <c r="BO67" s="110"/>
      <c r="BP67" s="110"/>
      <c r="BQ67" s="110"/>
      <c r="BR67" s="110"/>
      <c r="BS67" s="110"/>
      <c r="BT67" s="110"/>
      <c r="BU67" s="110"/>
      <c r="BV67" s="110"/>
      <c r="BW67" s="110"/>
      <c r="BX67" s="110"/>
      <c r="BY67" s="110"/>
      <c r="BZ67" s="110"/>
      <c r="CA67" s="110"/>
      <c r="CB67" s="110"/>
      <c r="CC67" s="110"/>
      <c r="CD67" s="110"/>
      <c r="CE67" s="110"/>
      <c r="CF67" s="110"/>
    </row>
    <row r="68" spans="4:84" s="326" customFormat="1">
      <c r="D68" s="852"/>
      <c r="E68" s="325"/>
      <c r="N68" s="327"/>
      <c r="O68" s="327"/>
      <c r="U68" s="327"/>
      <c r="V68" s="327"/>
      <c r="W68" s="327"/>
      <c r="X68" s="327"/>
      <c r="Y68" s="327"/>
      <c r="Z68" s="327"/>
      <c r="BB68" s="327"/>
      <c r="BH68" s="327"/>
      <c r="BK68" s="110"/>
      <c r="BL68" s="110"/>
      <c r="BM68" s="110"/>
      <c r="BN68" s="110"/>
      <c r="BO68" s="110"/>
      <c r="BP68" s="110"/>
      <c r="BQ68" s="110"/>
      <c r="BR68" s="110"/>
      <c r="BS68" s="110"/>
      <c r="BT68" s="110"/>
      <c r="BU68" s="110"/>
      <c r="BV68" s="110"/>
      <c r="BW68" s="110"/>
      <c r="BX68" s="110"/>
      <c r="BY68" s="110"/>
      <c r="BZ68" s="110"/>
      <c r="CA68" s="110"/>
      <c r="CB68" s="110"/>
      <c r="CC68" s="110"/>
      <c r="CD68" s="110"/>
      <c r="CE68" s="110"/>
      <c r="CF68" s="110"/>
    </row>
    <row r="69" spans="4:84" s="326" customFormat="1">
      <c r="D69" s="852"/>
      <c r="E69" s="325"/>
      <c r="N69" s="327"/>
      <c r="O69" s="327"/>
      <c r="U69" s="327"/>
      <c r="V69" s="327"/>
      <c r="W69" s="327"/>
      <c r="X69" s="327"/>
      <c r="Y69" s="327"/>
      <c r="Z69" s="327"/>
      <c r="BB69" s="327"/>
      <c r="BH69" s="327"/>
      <c r="BK69" s="110"/>
      <c r="BL69" s="110"/>
      <c r="BM69" s="110"/>
      <c r="BN69" s="110"/>
      <c r="BO69" s="110"/>
      <c r="BP69" s="110"/>
      <c r="BQ69" s="110"/>
      <c r="BR69" s="110"/>
      <c r="BS69" s="110"/>
      <c r="BT69" s="110"/>
      <c r="BU69" s="110"/>
      <c r="BV69" s="110"/>
      <c r="BW69" s="110"/>
      <c r="BX69" s="110"/>
      <c r="BY69" s="110"/>
      <c r="BZ69" s="110"/>
      <c r="CA69" s="110"/>
      <c r="CB69" s="110"/>
      <c r="CC69" s="110"/>
      <c r="CD69" s="110"/>
      <c r="CE69" s="110"/>
      <c r="CF69" s="110"/>
    </row>
    <row r="70" spans="4:84" s="326" customFormat="1">
      <c r="D70" s="852"/>
      <c r="E70" s="325"/>
      <c r="N70" s="327"/>
      <c r="O70" s="327"/>
      <c r="U70" s="327"/>
      <c r="V70" s="327"/>
      <c r="W70" s="327"/>
      <c r="X70" s="327"/>
      <c r="Y70" s="327"/>
      <c r="Z70" s="327"/>
      <c r="BB70" s="327"/>
      <c r="BH70" s="327"/>
      <c r="BK70" s="110"/>
      <c r="BL70" s="110"/>
      <c r="BM70" s="110"/>
      <c r="BN70" s="110"/>
      <c r="BO70" s="110"/>
      <c r="BP70" s="110"/>
      <c r="BQ70" s="110"/>
      <c r="BR70" s="110"/>
      <c r="BS70" s="110"/>
      <c r="BT70" s="110"/>
      <c r="BU70" s="110"/>
      <c r="BV70" s="110"/>
      <c r="BW70" s="110"/>
      <c r="BX70" s="110"/>
      <c r="BY70" s="110"/>
      <c r="BZ70" s="110"/>
      <c r="CA70" s="110"/>
      <c r="CB70" s="110"/>
      <c r="CC70" s="110"/>
      <c r="CD70" s="110"/>
      <c r="CE70" s="110"/>
      <c r="CF70" s="110"/>
    </row>
    <row r="71" spans="4:84" s="326" customFormat="1">
      <c r="D71" s="852"/>
      <c r="E71" s="325"/>
      <c r="N71" s="327"/>
      <c r="O71" s="327"/>
      <c r="U71" s="327"/>
      <c r="V71" s="327"/>
      <c r="W71" s="327"/>
      <c r="X71" s="327"/>
      <c r="Y71" s="327"/>
      <c r="Z71" s="327"/>
      <c r="BB71" s="327"/>
      <c r="BH71" s="327"/>
      <c r="BK71" s="318"/>
      <c r="BL71" s="319"/>
      <c r="BM71" s="319"/>
      <c r="BN71" s="319"/>
      <c r="BO71" s="319"/>
      <c r="BP71" s="319"/>
      <c r="BQ71" s="319"/>
      <c r="BR71" s="319"/>
      <c r="BS71" s="319"/>
      <c r="BT71" s="320"/>
      <c r="BU71" s="110"/>
      <c r="BV71" s="110"/>
      <c r="BW71" s="110"/>
      <c r="BX71" s="110"/>
      <c r="BY71" s="110"/>
      <c r="BZ71" s="110"/>
      <c r="CA71" s="110"/>
      <c r="CB71" s="110"/>
      <c r="CC71" s="110"/>
      <c r="CD71" s="110"/>
      <c r="CE71" s="110"/>
      <c r="CF71" s="110"/>
    </row>
    <row r="72" spans="4:84" s="326" customFormat="1">
      <c r="D72" s="852"/>
      <c r="E72" s="325"/>
      <c r="N72" s="327"/>
      <c r="O72" s="327"/>
      <c r="U72" s="327"/>
      <c r="V72" s="327"/>
      <c r="W72" s="327"/>
      <c r="X72" s="327"/>
      <c r="Y72" s="327"/>
      <c r="Z72" s="327"/>
      <c r="BB72" s="327"/>
      <c r="BH72" s="327"/>
      <c r="BK72" s="318"/>
      <c r="BL72" s="319"/>
      <c r="BM72" s="319"/>
      <c r="BN72" s="319"/>
      <c r="BO72" s="319"/>
      <c r="BP72" s="319"/>
      <c r="BQ72" s="319"/>
      <c r="BR72" s="319"/>
      <c r="BS72" s="319"/>
      <c r="BT72" s="320"/>
      <c r="BU72" s="110"/>
      <c r="BV72" s="110"/>
      <c r="BW72" s="110"/>
      <c r="BX72" s="110"/>
      <c r="BY72" s="110"/>
      <c r="BZ72" s="110"/>
      <c r="CA72" s="110"/>
      <c r="CB72" s="110"/>
      <c r="CC72" s="110"/>
      <c r="CD72" s="110"/>
      <c r="CE72" s="110"/>
      <c r="CF72" s="110"/>
    </row>
    <row r="73" spans="4:84" s="326" customFormat="1">
      <c r="D73" s="852"/>
      <c r="E73" s="325"/>
      <c r="N73" s="327"/>
      <c r="O73" s="327"/>
      <c r="U73" s="327"/>
      <c r="V73" s="327"/>
      <c r="W73" s="327"/>
      <c r="X73" s="327"/>
      <c r="Y73" s="327"/>
      <c r="Z73" s="327"/>
      <c r="BB73" s="327"/>
      <c r="BH73" s="327"/>
      <c r="BK73" s="319"/>
      <c r="BL73" s="319"/>
      <c r="BM73" s="319"/>
      <c r="BN73" s="319"/>
      <c r="BO73" s="319"/>
      <c r="BP73" s="319"/>
      <c r="BQ73" s="319"/>
      <c r="BR73" s="319"/>
      <c r="BS73" s="319"/>
      <c r="BT73" s="319"/>
      <c r="BU73" s="110"/>
      <c r="BV73" s="110"/>
      <c r="BW73" s="110"/>
      <c r="BX73" s="110"/>
      <c r="BY73" s="110"/>
      <c r="BZ73" s="110"/>
      <c r="CA73" s="110"/>
      <c r="CB73" s="110"/>
      <c r="CC73" s="110"/>
      <c r="CD73" s="110"/>
      <c r="CE73" s="110"/>
      <c r="CF73" s="110"/>
    </row>
    <row r="74" spans="4:84" s="326" customFormat="1">
      <c r="D74" s="852"/>
      <c r="E74" s="325"/>
      <c r="N74" s="327"/>
      <c r="O74" s="327"/>
      <c r="U74" s="327"/>
      <c r="V74" s="327"/>
      <c r="W74" s="327"/>
      <c r="X74" s="327"/>
      <c r="Y74" s="327"/>
      <c r="Z74" s="327"/>
      <c r="BB74" s="327"/>
      <c r="BH74" s="327"/>
      <c r="BK74" s="319"/>
      <c r="BL74" s="319"/>
      <c r="BM74" s="319"/>
      <c r="BN74" s="319"/>
      <c r="BO74" s="319"/>
      <c r="BP74" s="319"/>
      <c r="BQ74" s="319"/>
      <c r="BR74" s="319"/>
      <c r="BS74" s="319"/>
      <c r="BT74" s="319"/>
      <c r="BU74" s="110"/>
      <c r="BV74" s="110"/>
      <c r="BW74" s="110"/>
      <c r="BX74" s="110"/>
      <c r="BY74" s="110"/>
      <c r="BZ74" s="110"/>
      <c r="CA74" s="110"/>
      <c r="CB74" s="110"/>
      <c r="CC74" s="110"/>
      <c r="CD74" s="110"/>
      <c r="CE74" s="110"/>
      <c r="CF74" s="110"/>
    </row>
    <row r="75" spans="4:84" s="326" customFormat="1">
      <c r="D75" s="852"/>
      <c r="E75" s="325"/>
      <c r="N75" s="327"/>
      <c r="O75" s="327"/>
      <c r="U75" s="327"/>
      <c r="V75" s="327"/>
      <c r="W75" s="327"/>
      <c r="X75" s="327"/>
      <c r="Y75" s="327"/>
      <c r="Z75" s="327"/>
      <c r="BB75" s="327"/>
      <c r="BH75" s="327"/>
      <c r="BK75" s="319"/>
      <c r="BL75" s="319"/>
      <c r="BM75" s="319"/>
      <c r="BN75" s="319"/>
      <c r="BO75" s="319"/>
      <c r="BP75" s="319"/>
      <c r="BQ75" s="319"/>
      <c r="BR75" s="319"/>
      <c r="BS75" s="319"/>
      <c r="BT75" s="319"/>
      <c r="BU75" s="110"/>
      <c r="BV75" s="110"/>
      <c r="BW75" s="110"/>
      <c r="BX75" s="110"/>
      <c r="BY75" s="110"/>
      <c r="BZ75" s="110"/>
      <c r="CA75" s="110"/>
      <c r="CB75" s="110"/>
      <c r="CC75" s="110"/>
      <c r="CD75" s="110"/>
      <c r="CE75" s="110"/>
      <c r="CF75" s="110"/>
    </row>
    <row r="76" spans="4:84" s="326" customFormat="1">
      <c r="D76" s="852"/>
      <c r="E76" s="325"/>
      <c r="N76" s="327"/>
      <c r="O76" s="327"/>
      <c r="U76" s="327"/>
      <c r="V76" s="327"/>
      <c r="W76" s="327"/>
      <c r="X76" s="327"/>
      <c r="Y76" s="327"/>
      <c r="Z76" s="327"/>
      <c r="BB76" s="327"/>
      <c r="BH76" s="327"/>
      <c r="BK76" s="319"/>
      <c r="BL76" s="319"/>
      <c r="BM76" s="319"/>
      <c r="BN76" s="319"/>
      <c r="BO76" s="319"/>
      <c r="BP76" s="319"/>
      <c r="BQ76" s="319"/>
      <c r="BR76" s="319"/>
      <c r="BS76" s="319"/>
      <c r="BT76" s="319"/>
      <c r="BU76" s="110"/>
      <c r="BV76" s="110"/>
      <c r="BW76" s="110"/>
      <c r="BX76" s="110"/>
      <c r="BY76" s="110"/>
      <c r="BZ76" s="110"/>
      <c r="CA76" s="110"/>
      <c r="CB76" s="110"/>
      <c r="CC76" s="110"/>
      <c r="CD76" s="110"/>
      <c r="CE76" s="110"/>
      <c r="CF76" s="110"/>
    </row>
    <row r="77" spans="4:84" s="326" customFormat="1">
      <c r="D77" s="852"/>
      <c r="E77" s="325"/>
      <c r="N77" s="327"/>
      <c r="O77" s="327"/>
      <c r="U77" s="327"/>
      <c r="V77" s="327"/>
      <c r="W77" s="327"/>
      <c r="X77" s="327"/>
      <c r="Y77" s="327"/>
      <c r="Z77" s="327"/>
      <c r="BB77" s="327"/>
      <c r="BH77" s="327"/>
      <c r="BK77" s="319"/>
      <c r="BL77" s="319"/>
      <c r="BM77" s="319"/>
      <c r="BN77" s="319"/>
      <c r="BO77" s="319"/>
      <c r="BP77" s="319"/>
      <c r="BQ77" s="319"/>
      <c r="BR77" s="319"/>
      <c r="BS77" s="319"/>
      <c r="BT77" s="319"/>
      <c r="BU77" s="110"/>
      <c r="BV77" s="110"/>
      <c r="BW77" s="110"/>
      <c r="BX77" s="110"/>
      <c r="BY77" s="110"/>
      <c r="BZ77" s="110"/>
      <c r="CA77" s="110"/>
      <c r="CB77" s="110"/>
      <c r="CC77" s="110"/>
      <c r="CD77" s="110"/>
      <c r="CE77" s="110"/>
      <c r="CF77" s="110"/>
    </row>
    <row r="78" spans="4:84" s="326" customFormat="1">
      <c r="D78" s="852"/>
      <c r="E78" s="325"/>
      <c r="N78" s="327"/>
      <c r="O78" s="327"/>
      <c r="U78" s="327"/>
      <c r="V78" s="327"/>
      <c r="W78" s="327"/>
      <c r="X78" s="327"/>
      <c r="Y78" s="327"/>
      <c r="Z78" s="327"/>
      <c r="BB78" s="327"/>
      <c r="BH78" s="327"/>
      <c r="BK78" s="319"/>
      <c r="BL78" s="319"/>
      <c r="BM78" s="319"/>
      <c r="BN78" s="319"/>
      <c r="BO78" s="319"/>
      <c r="BP78" s="319"/>
      <c r="BQ78" s="319"/>
      <c r="BR78" s="319"/>
      <c r="BS78" s="319"/>
      <c r="BT78" s="319"/>
      <c r="BU78" s="110"/>
      <c r="BV78" s="110"/>
      <c r="BW78" s="110"/>
      <c r="BX78" s="110"/>
      <c r="BY78" s="110"/>
      <c r="BZ78" s="110"/>
      <c r="CA78" s="110"/>
      <c r="CB78" s="110"/>
      <c r="CC78" s="110"/>
      <c r="CD78" s="110"/>
      <c r="CE78" s="110"/>
      <c r="CF78" s="110"/>
    </row>
    <row r="79" spans="4:84" s="326" customFormat="1">
      <c r="D79" s="852"/>
      <c r="E79" s="325"/>
      <c r="N79" s="327"/>
      <c r="O79" s="327"/>
      <c r="U79" s="327"/>
      <c r="V79" s="327"/>
      <c r="W79" s="327"/>
      <c r="X79" s="327"/>
      <c r="Y79" s="327"/>
      <c r="Z79" s="327"/>
      <c r="BB79" s="327"/>
      <c r="BH79" s="327"/>
      <c r="BK79" s="319"/>
      <c r="BL79" s="319"/>
      <c r="BM79" s="319"/>
      <c r="BN79" s="319"/>
      <c r="BO79" s="319"/>
      <c r="BP79" s="319"/>
      <c r="BQ79" s="319"/>
      <c r="BR79" s="319"/>
      <c r="BS79" s="319"/>
      <c r="BT79" s="319"/>
      <c r="BU79" s="110"/>
      <c r="BV79" s="110"/>
      <c r="BW79" s="110"/>
      <c r="BX79" s="110"/>
      <c r="BY79" s="110"/>
      <c r="BZ79" s="110"/>
      <c r="CA79" s="110"/>
      <c r="CB79" s="110"/>
      <c r="CC79" s="110"/>
      <c r="CD79" s="110"/>
      <c r="CE79" s="110"/>
      <c r="CF79" s="110"/>
    </row>
    <row r="80" spans="4:84" s="326" customFormat="1">
      <c r="D80" s="852"/>
      <c r="E80" s="325"/>
      <c r="N80" s="327"/>
      <c r="O80" s="327"/>
      <c r="U80" s="327"/>
      <c r="V80" s="327"/>
      <c r="W80" s="327"/>
      <c r="X80" s="327"/>
      <c r="Y80" s="327"/>
      <c r="Z80" s="327"/>
      <c r="BB80" s="327"/>
      <c r="BH80" s="327"/>
      <c r="BK80" s="319"/>
      <c r="BL80" s="319"/>
      <c r="BM80" s="319"/>
      <c r="BN80" s="319"/>
      <c r="BO80" s="319"/>
      <c r="BP80" s="319"/>
      <c r="BQ80" s="319"/>
      <c r="BR80" s="319"/>
      <c r="BS80" s="319"/>
      <c r="BT80" s="319"/>
      <c r="BU80" s="110"/>
      <c r="BV80" s="110"/>
      <c r="BW80" s="110"/>
      <c r="BX80" s="110"/>
      <c r="BY80" s="110"/>
      <c r="BZ80" s="110"/>
      <c r="CA80" s="110"/>
      <c r="CB80" s="110"/>
      <c r="CC80" s="110"/>
      <c r="CD80" s="110"/>
      <c r="CE80" s="110"/>
      <c r="CF80" s="110"/>
    </row>
    <row r="81" spans="4:84" s="326" customFormat="1">
      <c r="D81" s="852"/>
      <c r="E81" s="325"/>
      <c r="N81" s="327"/>
      <c r="O81" s="327"/>
      <c r="U81" s="327"/>
      <c r="V81" s="327"/>
      <c r="W81" s="327"/>
      <c r="X81" s="327"/>
      <c r="Y81" s="327"/>
      <c r="Z81" s="327"/>
      <c r="BB81" s="327"/>
      <c r="BH81" s="327"/>
      <c r="BK81" s="319"/>
      <c r="BL81" s="319"/>
      <c r="BM81" s="319"/>
      <c r="BN81" s="319"/>
      <c r="BO81" s="319"/>
      <c r="BP81" s="319"/>
      <c r="BQ81" s="319"/>
      <c r="BR81" s="319"/>
      <c r="BS81" s="319"/>
      <c r="BT81" s="319"/>
      <c r="BU81" s="110"/>
      <c r="BV81" s="110"/>
      <c r="BW81" s="110"/>
      <c r="BX81" s="110"/>
      <c r="BY81" s="110"/>
      <c r="BZ81" s="110"/>
      <c r="CA81" s="110"/>
      <c r="CB81" s="110"/>
      <c r="CC81" s="110"/>
      <c r="CD81" s="110"/>
      <c r="CE81" s="110"/>
      <c r="CF81" s="110"/>
    </row>
    <row r="82" spans="4:84" s="326" customFormat="1">
      <c r="D82" s="852"/>
      <c r="E82" s="325"/>
      <c r="N82" s="327"/>
      <c r="O82" s="327"/>
      <c r="U82" s="327"/>
      <c r="V82" s="327"/>
      <c r="W82" s="327"/>
      <c r="X82" s="327"/>
      <c r="Y82" s="327"/>
      <c r="Z82" s="327"/>
      <c r="BB82" s="327"/>
      <c r="BH82" s="327"/>
      <c r="BK82" s="319"/>
      <c r="BL82" s="319"/>
      <c r="BM82" s="319"/>
      <c r="BN82" s="319"/>
      <c r="BO82" s="319"/>
      <c r="BP82" s="319"/>
      <c r="BQ82" s="319"/>
      <c r="BR82" s="319"/>
      <c r="BS82" s="319"/>
      <c r="BT82" s="319"/>
      <c r="BU82" s="110"/>
      <c r="BV82" s="110"/>
      <c r="BW82" s="110"/>
      <c r="BX82" s="110"/>
      <c r="BY82" s="110"/>
      <c r="BZ82" s="110"/>
      <c r="CA82" s="110"/>
      <c r="CB82" s="110"/>
      <c r="CC82" s="110"/>
      <c r="CD82" s="110"/>
      <c r="CE82" s="110"/>
      <c r="CF82" s="110"/>
    </row>
    <row r="83" spans="4:84" s="326" customFormat="1">
      <c r="D83" s="852"/>
      <c r="E83" s="325"/>
      <c r="N83" s="327"/>
      <c r="O83" s="327"/>
      <c r="U83" s="327"/>
      <c r="V83" s="327"/>
      <c r="W83" s="327"/>
      <c r="X83" s="327"/>
      <c r="Y83" s="327"/>
      <c r="Z83" s="327"/>
      <c r="BB83" s="327"/>
      <c r="BH83" s="327"/>
      <c r="BK83" s="319"/>
      <c r="BL83" s="319"/>
      <c r="BM83" s="319"/>
      <c r="BN83" s="319"/>
      <c r="BO83" s="319"/>
      <c r="BP83" s="319"/>
      <c r="BQ83" s="319"/>
      <c r="BR83" s="319"/>
      <c r="BS83" s="319"/>
      <c r="BT83" s="319"/>
      <c r="BU83" s="110"/>
      <c r="BV83" s="110"/>
      <c r="BW83" s="110"/>
      <c r="BX83" s="110"/>
      <c r="BY83" s="110"/>
      <c r="BZ83" s="110"/>
      <c r="CA83" s="110"/>
      <c r="CB83" s="110"/>
      <c r="CC83" s="110"/>
      <c r="CD83" s="110"/>
      <c r="CE83" s="110"/>
      <c r="CF83" s="110"/>
    </row>
    <row r="84" spans="4:84" s="326" customFormat="1">
      <c r="D84" s="852"/>
      <c r="E84" s="325"/>
      <c r="N84" s="327"/>
      <c r="O84" s="327"/>
      <c r="U84" s="327"/>
      <c r="V84" s="327"/>
      <c r="W84" s="327"/>
      <c r="X84" s="327"/>
      <c r="Y84" s="327"/>
      <c r="Z84" s="327"/>
      <c r="BB84" s="327"/>
      <c r="BH84" s="327"/>
      <c r="BK84" s="319"/>
      <c r="BL84" s="319"/>
      <c r="BM84" s="319"/>
      <c r="BN84" s="319"/>
      <c r="BO84" s="319"/>
      <c r="BP84" s="319"/>
      <c r="BQ84" s="319"/>
      <c r="BR84" s="319"/>
      <c r="BS84" s="319"/>
      <c r="BT84" s="319"/>
      <c r="BU84" s="110"/>
      <c r="BV84" s="110"/>
      <c r="BW84" s="110"/>
      <c r="BX84" s="110"/>
      <c r="BY84" s="110"/>
      <c r="BZ84" s="110"/>
      <c r="CA84" s="110"/>
      <c r="CB84" s="110"/>
      <c r="CC84" s="110"/>
      <c r="CD84" s="110"/>
      <c r="CE84" s="110"/>
      <c r="CF84" s="110"/>
    </row>
    <row r="85" spans="4:84" s="326" customFormat="1">
      <c r="D85" s="852"/>
      <c r="E85" s="325"/>
      <c r="N85" s="327"/>
      <c r="O85" s="327"/>
      <c r="U85" s="327"/>
      <c r="V85" s="327"/>
      <c r="W85" s="327"/>
      <c r="X85" s="327"/>
      <c r="Y85" s="327"/>
      <c r="Z85" s="327"/>
      <c r="BB85" s="327"/>
      <c r="BH85" s="327"/>
      <c r="BK85" s="319"/>
      <c r="BL85" s="319"/>
      <c r="BM85" s="319"/>
      <c r="BN85" s="319"/>
      <c r="BO85" s="319"/>
      <c r="BP85" s="319"/>
      <c r="BQ85" s="319"/>
      <c r="BR85" s="319"/>
      <c r="BS85" s="319"/>
      <c r="BT85" s="319"/>
      <c r="BU85" s="110"/>
      <c r="BV85" s="110"/>
      <c r="BW85" s="110"/>
      <c r="BX85" s="110"/>
      <c r="BY85" s="110"/>
      <c r="BZ85" s="110"/>
      <c r="CA85" s="110"/>
      <c r="CB85" s="110"/>
      <c r="CC85" s="110"/>
      <c r="CD85" s="110"/>
      <c r="CE85" s="110"/>
      <c r="CF85" s="110"/>
    </row>
    <row r="86" spans="4:84" s="326" customFormat="1">
      <c r="D86" s="852"/>
      <c r="E86" s="325"/>
      <c r="N86" s="327"/>
      <c r="O86" s="327"/>
      <c r="U86" s="327"/>
      <c r="V86" s="327"/>
      <c r="W86" s="327"/>
      <c r="X86" s="327"/>
      <c r="Y86" s="327"/>
      <c r="Z86" s="327"/>
      <c r="BB86" s="327"/>
      <c r="BH86" s="327"/>
      <c r="BK86" s="319"/>
      <c r="BL86" s="319"/>
      <c r="BM86" s="319"/>
      <c r="BN86" s="319"/>
      <c r="BO86" s="319"/>
      <c r="BP86" s="319"/>
      <c r="BQ86" s="319"/>
      <c r="BR86" s="319"/>
      <c r="BS86" s="319"/>
      <c r="BT86" s="319"/>
      <c r="BU86" s="110"/>
      <c r="BV86" s="110"/>
      <c r="BW86" s="110"/>
      <c r="BX86" s="110"/>
      <c r="BY86" s="110"/>
      <c r="BZ86" s="110"/>
      <c r="CA86" s="110"/>
      <c r="CB86" s="110"/>
      <c r="CC86" s="110"/>
      <c r="CD86" s="110"/>
      <c r="CE86" s="110"/>
      <c r="CF86" s="110"/>
    </row>
    <row r="87" spans="4:84" s="326" customFormat="1">
      <c r="D87" s="852"/>
      <c r="E87" s="325"/>
      <c r="N87" s="327"/>
      <c r="O87" s="327"/>
      <c r="U87" s="327"/>
      <c r="V87" s="327"/>
      <c r="W87" s="327"/>
      <c r="X87" s="327"/>
      <c r="Y87" s="327"/>
      <c r="Z87" s="327"/>
      <c r="BB87" s="327"/>
      <c r="BH87" s="327"/>
      <c r="BK87" s="319"/>
      <c r="BL87" s="319"/>
      <c r="BM87" s="319"/>
      <c r="BN87" s="319"/>
      <c r="BO87" s="319"/>
      <c r="BP87" s="319"/>
      <c r="BQ87" s="319"/>
      <c r="BR87" s="319"/>
      <c r="BS87" s="319"/>
      <c r="BT87" s="319"/>
      <c r="BU87" s="110"/>
      <c r="BV87" s="110"/>
      <c r="BW87" s="110"/>
      <c r="BX87" s="110"/>
      <c r="BY87" s="110"/>
      <c r="BZ87" s="110"/>
      <c r="CA87" s="110"/>
      <c r="CB87" s="110"/>
      <c r="CC87" s="110"/>
      <c r="CD87" s="110"/>
      <c r="CE87" s="110"/>
      <c r="CF87" s="110"/>
    </row>
    <row r="88" spans="4:84" s="326" customFormat="1">
      <c r="D88" s="852"/>
      <c r="E88" s="325"/>
      <c r="N88" s="327"/>
      <c r="O88" s="327"/>
      <c r="U88" s="327"/>
      <c r="V88" s="327"/>
      <c r="W88" s="327"/>
      <c r="X88" s="327"/>
      <c r="Y88" s="327"/>
      <c r="Z88" s="327"/>
      <c r="BB88" s="327"/>
      <c r="BH88" s="327"/>
      <c r="BK88" s="319"/>
      <c r="BL88" s="319"/>
      <c r="BM88" s="319"/>
      <c r="BN88" s="319"/>
      <c r="BO88" s="319"/>
      <c r="BP88" s="319"/>
      <c r="BQ88" s="319"/>
      <c r="BR88" s="319"/>
      <c r="BS88" s="319"/>
      <c r="BT88" s="319"/>
      <c r="BU88" s="110"/>
      <c r="BV88" s="110"/>
      <c r="BW88" s="110"/>
      <c r="BX88" s="110"/>
      <c r="BY88" s="110"/>
      <c r="BZ88" s="110"/>
      <c r="CA88" s="110"/>
      <c r="CB88" s="110"/>
      <c r="CC88" s="110"/>
      <c r="CD88" s="110"/>
      <c r="CE88" s="110"/>
      <c r="CF88" s="110"/>
    </row>
    <row r="89" spans="4:84" s="326" customFormat="1">
      <c r="D89" s="852"/>
      <c r="E89" s="325"/>
      <c r="N89" s="327"/>
      <c r="O89" s="327"/>
      <c r="U89" s="327"/>
      <c r="V89" s="327"/>
      <c r="W89" s="327"/>
      <c r="X89" s="327"/>
      <c r="Y89" s="327"/>
      <c r="Z89" s="327"/>
      <c r="BB89" s="327"/>
      <c r="BH89" s="327"/>
      <c r="BK89" s="319"/>
      <c r="BL89" s="319"/>
      <c r="BM89" s="319"/>
      <c r="BN89" s="319"/>
      <c r="BO89" s="319"/>
      <c r="BP89" s="319"/>
      <c r="BQ89" s="319"/>
      <c r="BR89" s="319"/>
      <c r="BS89" s="319"/>
      <c r="BT89" s="319"/>
      <c r="BU89" s="110"/>
      <c r="BV89" s="110"/>
      <c r="BW89" s="110"/>
      <c r="BX89" s="110"/>
      <c r="BY89" s="110"/>
      <c r="BZ89" s="110"/>
      <c r="CA89" s="110"/>
      <c r="CB89" s="110"/>
      <c r="CC89" s="110"/>
      <c r="CD89" s="110"/>
      <c r="CE89" s="110"/>
      <c r="CF89" s="110"/>
    </row>
    <row r="90" spans="4:84" s="326" customFormat="1">
      <c r="D90" s="852"/>
      <c r="E90" s="325"/>
      <c r="N90" s="327"/>
      <c r="O90" s="327"/>
      <c r="U90" s="327"/>
      <c r="V90" s="327"/>
      <c r="W90" s="327"/>
      <c r="X90" s="327"/>
      <c r="Y90" s="327"/>
      <c r="Z90" s="327"/>
      <c r="BB90" s="327"/>
      <c r="BH90" s="327"/>
      <c r="BK90" s="319"/>
      <c r="BL90" s="319"/>
      <c r="BM90" s="319"/>
      <c r="BN90" s="319"/>
      <c r="BO90" s="319"/>
      <c r="BP90" s="319"/>
      <c r="BQ90" s="319"/>
      <c r="BR90" s="319"/>
      <c r="BS90" s="319"/>
      <c r="BT90" s="319"/>
      <c r="BU90" s="110"/>
      <c r="BV90" s="110"/>
      <c r="BW90" s="110"/>
      <c r="BX90" s="110"/>
      <c r="BY90" s="110"/>
      <c r="BZ90" s="110"/>
      <c r="CA90" s="110"/>
      <c r="CB90" s="110"/>
      <c r="CC90" s="110"/>
      <c r="CD90" s="110"/>
      <c r="CE90" s="110"/>
      <c r="CF90" s="110"/>
    </row>
    <row r="91" spans="4:84" s="326" customFormat="1">
      <c r="D91" s="852"/>
      <c r="E91" s="325"/>
      <c r="N91" s="327"/>
      <c r="O91" s="327"/>
      <c r="U91" s="327"/>
      <c r="V91" s="327"/>
      <c r="W91" s="327"/>
      <c r="X91" s="327"/>
      <c r="Y91" s="327"/>
      <c r="Z91" s="327"/>
      <c r="BB91" s="327"/>
      <c r="BH91" s="327"/>
      <c r="BK91" s="319"/>
      <c r="BL91" s="319"/>
      <c r="BM91" s="319"/>
      <c r="BN91" s="319"/>
      <c r="BO91" s="319"/>
      <c r="BP91" s="319"/>
      <c r="BQ91" s="319"/>
      <c r="BR91" s="319"/>
      <c r="BS91" s="319"/>
      <c r="BT91" s="319"/>
      <c r="BU91" s="110"/>
      <c r="BV91" s="110"/>
      <c r="BW91" s="110"/>
      <c r="BX91" s="110"/>
      <c r="BY91" s="110"/>
      <c r="BZ91" s="110"/>
      <c r="CA91" s="110"/>
      <c r="CB91" s="110"/>
      <c r="CC91" s="110"/>
      <c r="CD91" s="110"/>
      <c r="CE91" s="110"/>
      <c r="CF91" s="110"/>
    </row>
    <row r="92" spans="4:84" s="326" customFormat="1">
      <c r="D92" s="852"/>
      <c r="E92" s="325"/>
      <c r="N92" s="327"/>
      <c r="O92" s="327"/>
      <c r="U92" s="327"/>
      <c r="V92" s="327"/>
      <c r="W92" s="327"/>
      <c r="X92" s="327"/>
      <c r="Y92" s="327"/>
      <c r="Z92" s="327"/>
      <c r="BB92" s="327"/>
      <c r="BH92" s="327"/>
      <c r="BK92" s="319"/>
      <c r="BL92" s="319"/>
      <c r="BM92" s="319"/>
      <c r="BN92" s="319"/>
      <c r="BO92" s="319"/>
      <c r="BP92" s="319"/>
      <c r="BQ92" s="319"/>
      <c r="BR92" s="319"/>
      <c r="BS92" s="319"/>
      <c r="BT92" s="319"/>
      <c r="BU92" s="110"/>
      <c r="BV92" s="110"/>
      <c r="BW92" s="110"/>
      <c r="BX92" s="110"/>
      <c r="BY92" s="110"/>
      <c r="BZ92" s="110"/>
      <c r="CA92" s="110"/>
      <c r="CB92" s="110"/>
      <c r="CC92" s="110"/>
      <c r="CD92" s="110"/>
      <c r="CE92" s="110"/>
      <c r="CF92" s="110"/>
    </row>
    <row r="93" spans="4:84" s="326" customFormat="1">
      <c r="D93" s="852"/>
      <c r="E93" s="325"/>
      <c r="N93" s="327"/>
      <c r="O93" s="327"/>
      <c r="U93" s="327"/>
      <c r="V93" s="327"/>
      <c r="W93" s="327"/>
      <c r="X93" s="327"/>
      <c r="Y93" s="327"/>
      <c r="Z93" s="327"/>
      <c r="BB93" s="327"/>
      <c r="BH93" s="327"/>
      <c r="BK93" s="319"/>
      <c r="BL93" s="319"/>
      <c r="BM93" s="319"/>
      <c r="BN93" s="319"/>
      <c r="BO93" s="319"/>
      <c r="BP93" s="319"/>
      <c r="BQ93" s="319"/>
      <c r="BR93" s="319"/>
      <c r="BS93" s="319"/>
      <c r="BT93" s="319"/>
      <c r="BU93" s="110"/>
      <c r="BV93" s="110"/>
      <c r="BW93" s="110"/>
      <c r="BX93" s="110"/>
      <c r="BY93" s="110"/>
      <c r="BZ93" s="110"/>
      <c r="CA93" s="110"/>
      <c r="CB93" s="110"/>
      <c r="CC93" s="110"/>
      <c r="CD93" s="110"/>
      <c r="CE93" s="110"/>
      <c r="CF93" s="110"/>
    </row>
    <row r="94" spans="4:84" s="326" customFormat="1">
      <c r="D94" s="852"/>
      <c r="E94" s="325"/>
      <c r="N94" s="327"/>
      <c r="O94" s="327"/>
      <c r="U94" s="327"/>
      <c r="V94" s="327"/>
      <c r="W94" s="327"/>
      <c r="X94" s="327"/>
      <c r="Y94" s="327"/>
      <c r="Z94" s="327"/>
      <c r="BB94" s="327"/>
      <c r="BH94" s="327"/>
      <c r="BK94" s="319"/>
      <c r="BL94" s="319"/>
      <c r="BM94" s="319"/>
      <c r="BN94" s="319"/>
      <c r="BO94" s="319"/>
      <c r="BP94" s="319"/>
      <c r="BQ94" s="319"/>
      <c r="BR94" s="319"/>
      <c r="BS94" s="319"/>
      <c r="BT94" s="319"/>
      <c r="BU94" s="110"/>
      <c r="BV94" s="110"/>
      <c r="BW94" s="110"/>
      <c r="BX94" s="110"/>
      <c r="BY94" s="110"/>
      <c r="BZ94" s="110"/>
      <c r="CA94" s="110"/>
      <c r="CB94" s="110"/>
      <c r="CC94" s="110"/>
      <c r="CD94" s="110"/>
      <c r="CE94" s="110"/>
      <c r="CF94" s="110"/>
    </row>
    <row r="95" spans="4:84" s="326" customFormat="1">
      <c r="D95" s="852"/>
      <c r="E95" s="325"/>
      <c r="N95" s="327"/>
      <c r="O95" s="327"/>
      <c r="U95" s="327"/>
      <c r="V95" s="327"/>
      <c r="W95" s="327"/>
      <c r="X95" s="327"/>
      <c r="Y95" s="327"/>
      <c r="Z95" s="327"/>
      <c r="BB95" s="327"/>
      <c r="BH95" s="327"/>
      <c r="BK95" s="319"/>
      <c r="BL95" s="319"/>
      <c r="BM95" s="319"/>
      <c r="BN95" s="319"/>
      <c r="BO95" s="319"/>
      <c r="BP95" s="319"/>
      <c r="BQ95" s="319"/>
      <c r="BR95" s="319"/>
      <c r="BS95" s="319"/>
      <c r="BT95" s="319"/>
      <c r="BU95" s="110"/>
      <c r="BV95" s="110"/>
      <c r="BW95" s="110"/>
      <c r="BX95" s="110"/>
      <c r="BY95" s="110"/>
      <c r="BZ95" s="110"/>
      <c r="CA95" s="110"/>
      <c r="CB95" s="110"/>
      <c r="CC95" s="110"/>
      <c r="CD95" s="110"/>
      <c r="CE95" s="110"/>
      <c r="CF95" s="110"/>
    </row>
    <row r="96" spans="4:84" s="326" customFormat="1">
      <c r="D96" s="852"/>
      <c r="E96" s="325"/>
      <c r="N96" s="327"/>
      <c r="O96" s="327"/>
      <c r="U96" s="327"/>
      <c r="V96" s="327"/>
      <c r="W96" s="327"/>
      <c r="X96" s="327"/>
      <c r="Y96" s="327"/>
      <c r="Z96" s="327"/>
      <c r="BB96" s="327"/>
      <c r="BH96" s="327"/>
      <c r="BK96" s="319"/>
      <c r="BL96" s="319"/>
      <c r="BM96" s="319"/>
      <c r="BN96" s="319"/>
      <c r="BO96" s="319"/>
      <c r="BP96" s="319"/>
      <c r="BQ96" s="319"/>
      <c r="BR96" s="319"/>
      <c r="BS96" s="319"/>
      <c r="BT96" s="319"/>
      <c r="BU96" s="110"/>
      <c r="BV96" s="110"/>
      <c r="BW96" s="110"/>
      <c r="BX96" s="110"/>
      <c r="BY96" s="110"/>
      <c r="BZ96" s="110"/>
      <c r="CA96" s="110"/>
      <c r="CB96" s="110"/>
      <c r="CC96" s="110"/>
      <c r="CD96" s="110"/>
      <c r="CE96" s="110"/>
      <c r="CF96" s="110"/>
    </row>
    <row r="97" spans="4:84" s="326" customFormat="1">
      <c r="D97" s="852"/>
      <c r="E97" s="325"/>
      <c r="N97" s="327"/>
      <c r="O97" s="327"/>
      <c r="U97" s="327"/>
      <c r="V97" s="327"/>
      <c r="W97" s="327"/>
      <c r="X97" s="327"/>
      <c r="Y97" s="327"/>
      <c r="Z97" s="327"/>
      <c r="BB97" s="327"/>
      <c r="BH97" s="327"/>
      <c r="BK97" s="319"/>
      <c r="BL97" s="319"/>
      <c r="BM97" s="319"/>
      <c r="BN97" s="319"/>
      <c r="BO97" s="319"/>
      <c r="BP97" s="319"/>
      <c r="BQ97" s="319"/>
      <c r="BR97" s="319"/>
      <c r="BS97" s="319"/>
      <c r="BT97" s="319"/>
      <c r="BU97" s="110"/>
      <c r="BV97" s="110"/>
      <c r="BW97" s="110"/>
      <c r="BX97" s="110"/>
      <c r="BY97" s="110"/>
      <c r="BZ97" s="110"/>
      <c r="CA97" s="110"/>
      <c r="CB97" s="110"/>
      <c r="CC97" s="110"/>
      <c r="CD97" s="110"/>
      <c r="CE97" s="110"/>
      <c r="CF97" s="110"/>
    </row>
    <row r="98" spans="4:84" s="326" customFormat="1" ht="7.8">
      <c r="D98" s="852"/>
      <c r="E98" s="325"/>
      <c r="N98" s="327"/>
      <c r="O98" s="327"/>
      <c r="U98" s="327"/>
      <c r="V98" s="327"/>
      <c r="W98" s="327"/>
      <c r="X98" s="327"/>
      <c r="Y98" s="327"/>
      <c r="Z98" s="327"/>
      <c r="BB98" s="327"/>
      <c r="BH98" s="327"/>
      <c r="BK98" s="104" t="e">
        <f t="shared" ref="BK98:CF98" si="205">SUM(BK31:BK71)</f>
        <v>#DIV/0!</v>
      </c>
      <c r="BL98" s="104">
        <f t="shared" si="205"/>
        <v>8089.5149360277828</v>
      </c>
      <c r="BM98" s="104" t="e">
        <f t="shared" si="205"/>
        <v>#DIV/0!</v>
      </c>
      <c r="BN98" s="104">
        <f t="shared" si="205"/>
        <v>13976.666794580398</v>
      </c>
      <c r="BO98" s="104" t="e">
        <f t="shared" si="205"/>
        <v>#DIV/0!</v>
      </c>
      <c r="BP98" s="104">
        <f t="shared" si="205"/>
        <v>156.5</v>
      </c>
      <c r="BQ98" s="104" t="e">
        <f t="shared" si="205"/>
        <v>#DIV/0!</v>
      </c>
      <c r="BR98" s="104" t="e">
        <f t="shared" si="205"/>
        <v>#DIV/0!</v>
      </c>
      <c r="BS98" s="104" t="e">
        <f t="shared" si="205"/>
        <v>#DIV/0!</v>
      </c>
      <c r="BT98" s="104" t="e">
        <f t="shared" si="205"/>
        <v>#DIV/0!</v>
      </c>
      <c r="BU98" s="104">
        <f t="shared" si="205"/>
        <v>2211.9444282250001</v>
      </c>
      <c r="BV98" s="104">
        <f t="shared" si="205"/>
        <v>0</v>
      </c>
      <c r="BW98" s="104">
        <f t="shared" si="205"/>
        <v>109.1526013875</v>
      </c>
      <c r="BX98" s="104">
        <f t="shared" si="205"/>
        <v>3420</v>
      </c>
      <c r="BY98" s="104">
        <f t="shared" si="205"/>
        <v>0</v>
      </c>
      <c r="BZ98" s="104">
        <f t="shared" si="205"/>
        <v>51.403999999999996</v>
      </c>
      <c r="CA98" s="104">
        <f t="shared" si="205"/>
        <v>0</v>
      </c>
      <c r="CB98" s="104">
        <f t="shared" si="205"/>
        <v>0</v>
      </c>
      <c r="CC98" s="104">
        <f t="shared" si="205"/>
        <v>0</v>
      </c>
      <c r="CD98" s="104">
        <f t="shared" si="205"/>
        <v>0</v>
      </c>
      <c r="CE98" s="104">
        <f t="shared" si="205"/>
        <v>0</v>
      </c>
      <c r="CF98" s="104">
        <f t="shared" si="205"/>
        <v>202.50849791250002</v>
      </c>
    </row>
    <row r="99" spans="4:84" s="326" customFormat="1">
      <c r="D99" s="852"/>
      <c r="E99" s="325"/>
      <c r="N99" s="327"/>
      <c r="O99" s="327"/>
      <c r="U99" s="327"/>
      <c r="V99" s="327"/>
      <c r="W99" s="327"/>
      <c r="X99" s="327"/>
      <c r="Y99" s="327"/>
      <c r="Z99" s="327"/>
      <c r="BB99" s="327"/>
      <c r="BH99" s="327"/>
      <c r="BK99" s="329" t="e">
        <f>BK98/$E$419</f>
        <v>#DIV/0!</v>
      </c>
      <c r="BL99" s="329" t="e">
        <f>BL98/BK98</f>
        <v>#DIV/0!</v>
      </c>
      <c r="BM99" s="329" t="e">
        <f>BM98/$E$419</f>
        <v>#DIV/0!</v>
      </c>
      <c r="BN99" s="329" t="e">
        <f>BN98/BM98</f>
        <v>#DIV/0!</v>
      </c>
      <c r="BO99" s="329" t="e">
        <f>BO98/$E$419</f>
        <v>#DIV/0!</v>
      </c>
      <c r="BP99" s="329" t="e">
        <f>BP98/BO98</f>
        <v>#DIV/0!</v>
      </c>
      <c r="BQ99" s="329" t="e">
        <f>BQ98/$E$419</f>
        <v>#DIV/0!</v>
      </c>
      <c r="BR99" s="329" t="e">
        <f>BR98/BQ98</f>
        <v>#DIV/0!</v>
      </c>
      <c r="BS99" s="329" t="e">
        <f>BS98/$E$419</f>
        <v>#DIV/0!</v>
      </c>
      <c r="BT99" s="329" t="e">
        <f>BT98/BS98</f>
        <v>#DIV/0!</v>
      </c>
      <c r="BU99" s="110"/>
      <c r="BV99" s="110"/>
      <c r="BW99" s="110"/>
      <c r="BX99" s="110"/>
      <c r="BY99" s="110"/>
      <c r="BZ99" s="110"/>
      <c r="CA99" s="110"/>
      <c r="CB99" s="110"/>
      <c r="CC99" s="110"/>
      <c r="CD99" s="110"/>
      <c r="CE99" s="110"/>
      <c r="CF99" s="110"/>
    </row>
    <row r="100" spans="4:84" s="326" customFormat="1">
      <c r="D100" s="852"/>
      <c r="E100" s="325"/>
      <c r="N100" s="327"/>
      <c r="O100" s="327"/>
      <c r="U100" s="327"/>
      <c r="V100" s="327"/>
      <c r="W100" s="327"/>
      <c r="X100" s="327"/>
      <c r="Y100" s="327"/>
      <c r="Z100" s="327"/>
      <c r="BB100" s="327"/>
      <c r="BH100" s="327"/>
      <c r="BK100" s="110"/>
      <c r="BL100" s="110"/>
      <c r="BM100" s="110"/>
      <c r="BN100" s="110"/>
      <c r="BO100" s="110"/>
      <c r="BP100" s="110"/>
      <c r="BQ100" s="110"/>
      <c r="BR100" s="110"/>
      <c r="BS100" s="110"/>
      <c r="BT100" s="110"/>
      <c r="BU100" s="110"/>
      <c r="BV100" s="110"/>
      <c r="BW100" s="110"/>
      <c r="BX100" s="110"/>
      <c r="BY100" s="110"/>
      <c r="BZ100" s="110"/>
      <c r="CA100" s="110"/>
      <c r="CB100" s="110"/>
      <c r="CC100" s="110"/>
      <c r="CD100" s="110"/>
      <c r="CE100" s="110"/>
      <c r="CF100" s="110"/>
    </row>
    <row r="101" spans="4:84" s="326" customFormat="1">
      <c r="D101" s="852"/>
      <c r="E101" s="325"/>
      <c r="N101" s="327"/>
      <c r="O101" s="327"/>
      <c r="U101" s="327"/>
      <c r="V101" s="327"/>
      <c r="W101" s="327"/>
      <c r="X101" s="327"/>
      <c r="Y101" s="327"/>
      <c r="Z101" s="327"/>
      <c r="BB101" s="327"/>
      <c r="BH101" s="327"/>
      <c r="BK101" s="110" t="e">
        <f>BK98+BM98+BO98+BQ98+BS98</f>
        <v>#DIV/0!</v>
      </c>
      <c r="BL101" s="110"/>
      <c r="BM101" s="110"/>
      <c r="BN101" s="110"/>
      <c r="BO101" s="110"/>
      <c r="BP101" s="110"/>
      <c r="BQ101" s="110"/>
      <c r="BR101" s="110"/>
      <c r="BS101" s="110"/>
      <c r="BT101" s="110"/>
      <c r="BU101" s="110"/>
      <c r="BV101" s="110"/>
      <c r="BW101" s="110"/>
      <c r="BX101" s="110"/>
      <c r="BY101" s="110"/>
      <c r="BZ101" s="110"/>
      <c r="CA101" s="110"/>
      <c r="CB101" s="110"/>
      <c r="CC101" s="110"/>
      <c r="CD101" s="110"/>
      <c r="CE101" s="110"/>
      <c r="CF101" s="110"/>
    </row>
    <row r="102" spans="4:84" s="326" customFormat="1">
      <c r="D102" s="852"/>
      <c r="E102" s="325"/>
      <c r="N102" s="327"/>
      <c r="O102" s="327"/>
      <c r="U102" s="327"/>
      <c r="V102" s="327"/>
      <c r="W102" s="327"/>
      <c r="X102" s="327"/>
      <c r="Y102" s="327"/>
      <c r="Z102" s="327"/>
      <c r="BB102" s="327"/>
      <c r="BH102" s="327"/>
      <c r="BK102" s="110" t="e">
        <f>BK101-#REF!</f>
        <v>#DIV/0!</v>
      </c>
      <c r="BL102" s="110"/>
      <c r="BM102" s="110"/>
      <c r="BN102" s="110"/>
      <c r="BO102" s="110"/>
      <c r="BP102" s="110"/>
      <c r="BQ102" s="110"/>
      <c r="BR102" s="110"/>
      <c r="BS102" s="110"/>
      <c r="BT102" s="110"/>
      <c r="BU102" s="110"/>
      <c r="BV102" s="110"/>
      <c r="BW102" s="110"/>
      <c r="BX102" s="110"/>
      <c r="BY102" s="110"/>
      <c r="BZ102" s="110"/>
      <c r="CA102" s="110"/>
      <c r="CB102" s="110"/>
      <c r="CC102" s="110"/>
      <c r="CD102" s="110"/>
      <c r="CE102" s="110"/>
      <c r="CF102" s="110"/>
    </row>
    <row r="103" spans="4:84" s="326" customFormat="1">
      <c r="D103" s="852"/>
      <c r="E103" s="325"/>
      <c r="N103" s="327"/>
      <c r="O103" s="327"/>
      <c r="U103" s="327"/>
      <c r="V103" s="327"/>
      <c r="W103" s="327"/>
      <c r="X103" s="327"/>
      <c r="Y103" s="327"/>
      <c r="Z103" s="327"/>
      <c r="BB103" s="327"/>
      <c r="BH103" s="327"/>
      <c r="BK103" s="110"/>
      <c r="BL103" s="110"/>
      <c r="BM103" s="110"/>
      <c r="BN103" s="110"/>
      <c r="BO103" s="110"/>
      <c r="BP103" s="110"/>
      <c r="BQ103" s="110"/>
      <c r="BR103" s="110"/>
      <c r="BS103" s="110"/>
      <c r="BT103" s="110"/>
      <c r="BU103" s="110"/>
      <c r="BV103" s="110"/>
      <c r="BW103" s="110"/>
      <c r="BX103" s="110"/>
      <c r="BY103" s="110"/>
      <c r="BZ103" s="110"/>
      <c r="CA103" s="110"/>
      <c r="CB103" s="110"/>
      <c r="CC103" s="110"/>
      <c r="CD103" s="110"/>
      <c r="CE103" s="110"/>
      <c r="CF103" s="110"/>
    </row>
    <row r="104" spans="4:84" s="326" customFormat="1">
      <c r="D104" s="852"/>
      <c r="E104" s="325"/>
      <c r="N104" s="327"/>
      <c r="O104" s="327"/>
      <c r="U104" s="327"/>
      <c r="V104" s="327"/>
      <c r="W104" s="327"/>
      <c r="X104" s="327"/>
      <c r="Y104" s="327"/>
      <c r="Z104" s="327"/>
      <c r="BB104" s="327"/>
      <c r="BH104" s="327"/>
      <c r="BK104" s="110"/>
      <c r="BL104" s="110"/>
      <c r="BM104" s="110"/>
      <c r="BN104" s="110"/>
      <c r="BO104" s="110"/>
      <c r="BP104" s="110"/>
      <c r="BQ104" s="110"/>
      <c r="BR104" s="110"/>
      <c r="BS104" s="110"/>
      <c r="BT104" s="110"/>
      <c r="BU104" s="110"/>
      <c r="BV104" s="110"/>
      <c r="BW104" s="110"/>
      <c r="BX104" s="110"/>
      <c r="BY104" s="110"/>
      <c r="BZ104" s="110"/>
      <c r="CA104" s="110"/>
      <c r="CB104" s="110"/>
      <c r="CC104" s="110"/>
      <c r="CD104" s="110"/>
      <c r="CE104" s="110"/>
      <c r="CF104" s="110"/>
    </row>
    <row r="105" spans="4:84" s="326" customFormat="1">
      <c r="D105" s="852"/>
      <c r="E105" s="325"/>
      <c r="N105" s="327"/>
      <c r="O105" s="327"/>
      <c r="U105" s="327"/>
      <c r="V105" s="327"/>
      <c r="W105" s="327"/>
      <c r="X105" s="327"/>
      <c r="Y105" s="327"/>
      <c r="Z105" s="327"/>
      <c r="BB105" s="327"/>
      <c r="BH105" s="327"/>
      <c r="BK105" s="318" t="e">
        <f>IF(#REF!&lt;=1966,#REF!)</f>
        <v>#REF!</v>
      </c>
      <c r="BL105" s="319" t="e">
        <f>IF(#REF!="kompletna",BK105,IF(#REF!="częściowa",0.5*BK105))</f>
        <v>#REF!</v>
      </c>
      <c r="BM105" s="319" t="e">
        <f>IF(#REF!&gt;1966,IF(#REF!&lt;=1985,#REF!))</f>
        <v>#REF!</v>
      </c>
      <c r="BN105" s="319" t="e">
        <f>IF(#REF!="kompletna",BM105,IF(#REF!="częściowa",0.5*BM105))</f>
        <v>#REF!</v>
      </c>
      <c r="BO105" s="319" t="e">
        <f>IF(#REF!&gt;1985,IF(#REF!&lt;=1992,#REF!))</f>
        <v>#REF!</v>
      </c>
      <c r="BP105" s="319" t="e">
        <f>IF(#REF!="kompletna",BO105,IF(#REF!="częściowa",0.5*BO105))</f>
        <v>#REF!</v>
      </c>
      <c r="BQ105" s="319" t="e">
        <f>IF(#REF!&gt;1992,IF(#REF!&lt;=1996,#REF!))</f>
        <v>#REF!</v>
      </c>
      <c r="BR105" s="319" t="e">
        <f>IF(#REF!="kompletna",BQ105,IF(#REF!="częściowa",0.5*BQ105))</f>
        <v>#REF!</v>
      </c>
      <c r="BS105" s="319" t="e">
        <f>IF(#REF!&gt;1996,IF(#REF!&lt;=2014,#REF!))</f>
        <v>#REF!</v>
      </c>
      <c r="BT105" s="320" t="e">
        <f>IF(#REF!="kompletna",BS105,IF(#REF!="częściowa",0.5*BS105))</f>
        <v>#REF!</v>
      </c>
      <c r="BU105" s="110" t="e">
        <f>IF(#REF!="węgiel",#REF!)</f>
        <v>#REF!</v>
      </c>
      <c r="BV105" s="110" t="e">
        <f>IF(#REF!="gaz",#REF!)</f>
        <v>#REF!</v>
      </c>
      <c r="BW105" s="110" t="e">
        <f>IF(#REF!="drewno",#REF!)</f>
        <v>#REF!</v>
      </c>
      <c r="BX105" s="110" t="e">
        <f>IF(#REF!="pelet",#REF!)</f>
        <v>#REF!</v>
      </c>
      <c r="BY105" s="110" t="e">
        <f>IF(#REF!="olej opałowy",#REF!)</f>
        <v>#REF!</v>
      </c>
      <c r="BZ105" s="110" t="e">
        <f>IF(#REF!="prąd",#REF!)</f>
        <v>#REF!</v>
      </c>
      <c r="CA105" s="110" t="e">
        <f>IF(#REF!="węgiel",#REF!)</f>
        <v>#REF!</v>
      </c>
      <c r="CB105" s="110" t="e">
        <f>IF(#REF!="gaz",#REF!)</f>
        <v>#REF!</v>
      </c>
      <c r="CC105" s="110" t="e">
        <f>IF(#REF!="drewno",#REF!)</f>
        <v>#REF!</v>
      </c>
      <c r="CD105" s="110" t="e">
        <f>IF(#REF!="pelet",#REF!)</f>
        <v>#REF!</v>
      </c>
      <c r="CE105" s="110" t="e">
        <f>IF(#REF!="olej opałowy",#REF!)</f>
        <v>#REF!</v>
      </c>
      <c r="CF105" s="110" t="e">
        <f>IF(#REF!="prąd",#REF!)</f>
        <v>#REF!</v>
      </c>
    </row>
    <row r="106" spans="4:84" s="326" customFormat="1">
      <c r="D106" s="852"/>
      <c r="E106" s="325"/>
      <c r="N106" s="327"/>
      <c r="O106" s="327"/>
      <c r="U106" s="327"/>
      <c r="V106" s="327"/>
      <c r="W106" s="327"/>
      <c r="X106" s="327"/>
      <c r="Y106" s="327"/>
      <c r="Z106" s="327"/>
      <c r="BB106" s="327"/>
      <c r="BH106" s="327"/>
      <c r="BK106" s="318" t="e">
        <f>IF(#REF!&lt;=1966,#REF!)</f>
        <v>#REF!</v>
      </c>
      <c r="BL106" s="319" t="e">
        <f>IF(#REF!="kompletna",BK106,IF(#REF!="częściowa",0.5*BK106))</f>
        <v>#REF!</v>
      </c>
      <c r="BM106" s="319" t="e">
        <f>IF(#REF!&gt;1966,IF(#REF!&lt;=1985,#REF!))</f>
        <v>#REF!</v>
      </c>
      <c r="BN106" s="319" t="e">
        <f>IF(#REF!="kompletna",BM106,IF(#REF!="częściowa",0.5*BM106))</f>
        <v>#REF!</v>
      </c>
      <c r="BO106" s="319" t="e">
        <f>IF(#REF!&gt;1985,IF(#REF!&lt;=1992,#REF!))</f>
        <v>#REF!</v>
      </c>
      <c r="BP106" s="319" t="e">
        <f>IF(#REF!="kompletna",BO106,IF(#REF!="częściowa",0.5*BO106))</f>
        <v>#REF!</v>
      </c>
      <c r="BQ106" s="319" t="e">
        <f>IF(#REF!&gt;1992,IF(#REF!&lt;=1996,#REF!))</f>
        <v>#REF!</v>
      </c>
      <c r="BR106" s="319" t="e">
        <f>IF(#REF!="kompletna",BQ106,IF(#REF!="częściowa",0.5*BQ106))</f>
        <v>#REF!</v>
      </c>
      <c r="BS106" s="319" t="e">
        <f>IF(#REF!&gt;1996,IF(#REF!&lt;=2014,#REF!))</f>
        <v>#REF!</v>
      </c>
      <c r="BT106" s="320" t="e">
        <f>IF(#REF!="kompletna",BS106,IF(#REF!="częściowa",0.5*BS106))</f>
        <v>#REF!</v>
      </c>
      <c r="BU106" s="110" t="e">
        <f>IF(#REF!="węgiel",#REF!)</f>
        <v>#REF!</v>
      </c>
      <c r="BV106" s="110" t="e">
        <f>IF(#REF!="gaz",#REF!)</f>
        <v>#REF!</v>
      </c>
      <c r="BW106" s="110" t="e">
        <f>IF(#REF!="drewno",#REF!)</f>
        <v>#REF!</v>
      </c>
      <c r="BX106" s="110" t="e">
        <f>IF(#REF!="pelet",#REF!)</f>
        <v>#REF!</v>
      </c>
      <c r="BY106" s="110" t="e">
        <f>IF(#REF!="olej opałowy",#REF!)</f>
        <v>#REF!</v>
      </c>
      <c r="BZ106" s="110" t="e">
        <f>IF(#REF!="prąd",#REF!)</f>
        <v>#REF!</v>
      </c>
      <c r="CA106" s="110" t="e">
        <f>IF(#REF!="węgiel",#REF!)</f>
        <v>#REF!</v>
      </c>
      <c r="CB106" s="110" t="e">
        <f>IF(#REF!="gaz",#REF!)</f>
        <v>#REF!</v>
      </c>
      <c r="CC106" s="110" t="e">
        <f>IF(#REF!="drewno",#REF!)</f>
        <v>#REF!</v>
      </c>
      <c r="CD106" s="110" t="e">
        <f>IF(#REF!="pelet",#REF!)</f>
        <v>#REF!</v>
      </c>
      <c r="CE106" s="110" t="e">
        <f>IF(#REF!="olej opałowy",#REF!)</f>
        <v>#REF!</v>
      </c>
      <c r="CF106" s="110" t="e">
        <f>IF(#REF!="prąd",#REF!)</f>
        <v>#REF!</v>
      </c>
    </row>
    <row r="107" spans="4:84" s="326" customFormat="1">
      <c r="D107" s="852"/>
      <c r="E107" s="325"/>
      <c r="N107" s="327"/>
      <c r="O107" s="327"/>
      <c r="U107" s="327"/>
      <c r="V107" s="327"/>
      <c r="W107" s="327"/>
      <c r="X107" s="327"/>
      <c r="Y107" s="327"/>
      <c r="Z107" s="327"/>
      <c r="BB107" s="327"/>
      <c r="BH107" s="327"/>
      <c r="BK107" s="319"/>
      <c r="BL107" s="319"/>
      <c r="BM107" s="319"/>
      <c r="BN107" s="319"/>
      <c r="BO107" s="319"/>
      <c r="BP107" s="319"/>
      <c r="BQ107" s="319"/>
      <c r="BR107" s="319"/>
      <c r="BS107" s="319"/>
      <c r="BT107" s="319"/>
      <c r="BU107" s="110"/>
      <c r="BV107" s="110"/>
      <c r="BW107" s="110"/>
      <c r="BX107" s="110"/>
      <c r="BY107" s="110"/>
      <c r="BZ107" s="110"/>
      <c r="CA107" s="110"/>
      <c r="CB107" s="110"/>
      <c r="CC107" s="110"/>
      <c r="CD107" s="110"/>
      <c r="CE107" s="110"/>
      <c r="CF107" s="110"/>
    </row>
    <row r="108" spans="4:84" s="326" customFormat="1">
      <c r="D108" s="852"/>
      <c r="E108" s="325"/>
      <c r="N108" s="327"/>
      <c r="O108" s="327"/>
      <c r="U108" s="327"/>
      <c r="V108" s="327"/>
      <c r="W108" s="327"/>
      <c r="X108" s="327"/>
      <c r="Y108" s="327"/>
      <c r="Z108" s="327"/>
      <c r="BB108" s="327"/>
      <c r="BH108" s="327"/>
      <c r="BK108" s="319"/>
      <c r="BL108" s="319"/>
      <c r="BM108" s="319"/>
      <c r="BN108" s="319"/>
      <c r="BO108" s="319"/>
      <c r="BP108" s="319"/>
      <c r="BQ108" s="319"/>
      <c r="BR108" s="319"/>
      <c r="BS108" s="319"/>
      <c r="BT108" s="319"/>
      <c r="BU108" s="110"/>
      <c r="BV108" s="110"/>
      <c r="BW108" s="110"/>
      <c r="BX108" s="110"/>
      <c r="BY108" s="110"/>
      <c r="BZ108" s="110"/>
      <c r="CA108" s="110"/>
      <c r="CB108" s="110"/>
      <c r="CC108" s="110"/>
      <c r="CD108" s="110"/>
      <c r="CE108" s="110"/>
      <c r="CF108" s="110"/>
    </row>
    <row r="109" spans="4:84" s="326" customFormat="1">
      <c r="D109" s="852"/>
      <c r="E109" s="325"/>
      <c r="N109" s="327"/>
      <c r="O109" s="327"/>
      <c r="U109" s="327"/>
      <c r="V109" s="327"/>
      <c r="W109" s="327"/>
      <c r="X109" s="327"/>
      <c r="Y109" s="327"/>
      <c r="Z109" s="327"/>
      <c r="BB109" s="327"/>
      <c r="BH109" s="327"/>
      <c r="BK109" s="319"/>
      <c r="BL109" s="319"/>
      <c r="BM109" s="319"/>
      <c r="BN109" s="319"/>
      <c r="BO109" s="319"/>
      <c r="BP109" s="319"/>
      <c r="BQ109" s="319"/>
      <c r="BR109" s="319"/>
      <c r="BS109" s="319"/>
      <c r="BT109" s="319"/>
      <c r="BU109" s="110"/>
      <c r="BV109" s="110"/>
      <c r="BW109" s="110"/>
      <c r="BX109" s="110"/>
      <c r="BY109" s="110"/>
      <c r="BZ109" s="110"/>
      <c r="CA109" s="110"/>
      <c r="CB109" s="110"/>
      <c r="CC109" s="110"/>
      <c r="CD109" s="110"/>
      <c r="CE109" s="110"/>
      <c r="CF109" s="110"/>
    </row>
    <row r="110" spans="4:84" s="326" customFormat="1">
      <c r="D110" s="852"/>
      <c r="E110" s="325"/>
      <c r="N110" s="327"/>
      <c r="O110" s="327"/>
      <c r="U110" s="327"/>
      <c r="V110" s="327"/>
      <c r="W110" s="327"/>
      <c r="X110" s="327"/>
      <c r="Y110" s="327"/>
      <c r="Z110" s="327"/>
      <c r="BB110" s="327"/>
      <c r="BH110" s="327"/>
      <c r="BK110" s="319"/>
      <c r="BL110" s="319"/>
      <c r="BM110" s="319"/>
      <c r="BN110" s="319"/>
      <c r="BO110" s="319"/>
      <c r="BP110" s="319"/>
      <c r="BQ110" s="319"/>
      <c r="BR110" s="319"/>
      <c r="BS110" s="319"/>
      <c r="BT110" s="319"/>
      <c r="BU110" s="110"/>
      <c r="BV110" s="110"/>
      <c r="BW110" s="110"/>
      <c r="BX110" s="110"/>
      <c r="BY110" s="110"/>
      <c r="BZ110" s="110"/>
      <c r="CA110" s="110"/>
      <c r="CB110" s="110"/>
      <c r="CC110" s="110"/>
      <c r="CD110" s="110"/>
      <c r="CE110" s="110"/>
      <c r="CF110" s="110"/>
    </row>
    <row r="111" spans="4:84" s="326" customFormat="1">
      <c r="D111" s="852"/>
      <c r="E111" s="325"/>
      <c r="N111" s="327"/>
      <c r="O111" s="327"/>
      <c r="U111" s="327"/>
      <c r="V111" s="327"/>
      <c r="W111" s="327"/>
      <c r="X111" s="327"/>
      <c r="Y111" s="327"/>
      <c r="Z111" s="327"/>
      <c r="BB111" s="327"/>
      <c r="BH111" s="327"/>
      <c r="BK111" s="319"/>
      <c r="BL111" s="319"/>
      <c r="BM111" s="319"/>
      <c r="BN111" s="319"/>
      <c r="BO111" s="319"/>
      <c r="BP111" s="319"/>
      <c r="BQ111" s="319"/>
      <c r="BR111" s="319"/>
      <c r="BS111" s="319"/>
      <c r="BT111" s="319"/>
      <c r="BU111" s="110"/>
      <c r="BV111" s="110"/>
      <c r="BW111" s="110"/>
      <c r="BX111" s="110"/>
      <c r="BY111" s="110"/>
      <c r="BZ111" s="110"/>
      <c r="CA111" s="110"/>
      <c r="CB111" s="110"/>
      <c r="CC111" s="110"/>
      <c r="CD111" s="110"/>
      <c r="CE111" s="110"/>
      <c r="CF111" s="110"/>
    </row>
    <row r="112" spans="4:84" s="326" customFormat="1">
      <c r="D112" s="852"/>
      <c r="E112" s="325"/>
      <c r="N112" s="327"/>
      <c r="O112" s="327"/>
      <c r="U112" s="327"/>
      <c r="V112" s="327"/>
      <c r="W112" s="327"/>
      <c r="X112" s="327"/>
      <c r="Y112" s="327"/>
      <c r="Z112" s="327"/>
      <c r="BB112" s="327"/>
      <c r="BH112" s="327"/>
      <c r="BK112" s="319"/>
      <c r="BL112" s="319"/>
      <c r="BM112" s="319"/>
      <c r="BN112" s="319"/>
      <c r="BO112" s="319"/>
      <c r="BP112" s="319"/>
      <c r="BQ112" s="319"/>
      <c r="BR112" s="319"/>
      <c r="BS112" s="319"/>
      <c r="BT112" s="319"/>
      <c r="BU112" s="110"/>
      <c r="BV112" s="110"/>
      <c r="BW112" s="110"/>
      <c r="BX112" s="110"/>
      <c r="BY112" s="110"/>
      <c r="BZ112" s="110"/>
      <c r="CA112" s="110"/>
      <c r="CB112" s="110"/>
      <c r="CC112" s="110"/>
      <c r="CD112" s="110"/>
      <c r="CE112" s="110"/>
      <c r="CF112" s="110"/>
    </row>
    <row r="113" spans="4:84" s="326" customFormat="1">
      <c r="D113" s="852"/>
      <c r="E113" s="325"/>
      <c r="N113" s="327"/>
      <c r="O113" s="327"/>
      <c r="U113" s="327"/>
      <c r="V113" s="327"/>
      <c r="W113" s="327"/>
      <c r="X113" s="327"/>
      <c r="Y113" s="327"/>
      <c r="Z113" s="327"/>
      <c r="BB113" s="327"/>
      <c r="BH113" s="327"/>
      <c r="BK113" s="319"/>
      <c r="BL113" s="319"/>
      <c r="BM113" s="319"/>
      <c r="BN113" s="319"/>
      <c r="BO113" s="319"/>
      <c r="BP113" s="319"/>
      <c r="BQ113" s="319"/>
      <c r="BR113" s="319"/>
      <c r="BS113" s="319"/>
      <c r="BT113" s="319"/>
      <c r="BU113" s="110"/>
      <c r="BV113" s="110"/>
      <c r="BW113" s="110"/>
      <c r="BX113" s="110"/>
      <c r="BY113" s="110"/>
      <c r="BZ113" s="110"/>
      <c r="CA113" s="110"/>
      <c r="CB113" s="110"/>
      <c r="CC113" s="110"/>
      <c r="CD113" s="110"/>
      <c r="CE113" s="110"/>
      <c r="CF113" s="110"/>
    </row>
    <row r="114" spans="4:84" s="326" customFormat="1">
      <c r="D114" s="852"/>
      <c r="E114" s="325"/>
      <c r="N114" s="327"/>
      <c r="O114" s="327"/>
      <c r="U114" s="327"/>
      <c r="V114" s="327"/>
      <c r="W114" s="327"/>
      <c r="X114" s="327"/>
      <c r="Y114" s="327"/>
      <c r="Z114" s="327"/>
      <c r="BB114" s="327"/>
      <c r="BH114" s="327"/>
      <c r="BK114" s="319"/>
      <c r="BL114" s="319"/>
      <c r="BM114" s="319"/>
      <c r="BN114" s="319"/>
      <c r="BO114" s="319"/>
      <c r="BP114" s="319"/>
      <c r="BQ114" s="319"/>
      <c r="BR114" s="319"/>
      <c r="BS114" s="319"/>
      <c r="BT114" s="319"/>
      <c r="BU114" s="110"/>
      <c r="BV114" s="110"/>
      <c r="BW114" s="110"/>
      <c r="BX114" s="110"/>
      <c r="BY114" s="110"/>
      <c r="BZ114" s="110"/>
      <c r="CA114" s="110"/>
      <c r="CB114" s="110"/>
      <c r="CC114" s="110"/>
      <c r="CD114" s="110"/>
      <c r="CE114" s="110"/>
      <c r="CF114" s="110"/>
    </row>
    <row r="115" spans="4:84" s="326" customFormat="1">
      <c r="D115" s="852"/>
      <c r="E115" s="325"/>
      <c r="N115" s="327"/>
      <c r="O115" s="327"/>
      <c r="U115" s="327"/>
      <c r="V115" s="327"/>
      <c r="W115" s="327"/>
      <c r="X115" s="327"/>
      <c r="Y115" s="327"/>
      <c r="Z115" s="327"/>
      <c r="BB115" s="327"/>
      <c r="BH115" s="327"/>
      <c r="BK115" s="319"/>
      <c r="BL115" s="319"/>
      <c r="BM115" s="319"/>
      <c r="BN115" s="319"/>
      <c r="BO115" s="319"/>
      <c r="BP115" s="319"/>
      <c r="BQ115" s="319"/>
      <c r="BR115" s="319"/>
      <c r="BS115" s="319"/>
      <c r="BT115" s="319"/>
      <c r="BU115" s="110"/>
      <c r="BV115" s="110"/>
      <c r="BW115" s="110"/>
      <c r="BX115" s="110"/>
      <c r="BY115" s="110"/>
      <c r="BZ115" s="110"/>
      <c r="CA115" s="110"/>
      <c r="CB115" s="110"/>
      <c r="CC115" s="110"/>
      <c r="CD115" s="110"/>
      <c r="CE115" s="110"/>
      <c r="CF115" s="110"/>
    </row>
    <row r="116" spans="4:84" s="326" customFormat="1">
      <c r="D116" s="852"/>
      <c r="E116" s="325"/>
      <c r="N116" s="327"/>
      <c r="O116" s="327"/>
      <c r="U116" s="327"/>
      <c r="V116" s="327"/>
      <c r="W116" s="327"/>
      <c r="X116" s="327"/>
      <c r="Y116" s="327"/>
      <c r="Z116" s="327"/>
      <c r="BB116" s="327"/>
      <c r="BH116" s="327"/>
      <c r="BK116" s="319"/>
      <c r="BL116" s="319"/>
      <c r="BM116" s="319"/>
      <c r="BN116" s="319"/>
      <c r="BO116" s="319"/>
      <c r="BP116" s="319"/>
      <c r="BQ116" s="319"/>
      <c r="BR116" s="319"/>
      <c r="BS116" s="319"/>
      <c r="BT116" s="319"/>
      <c r="BU116" s="110"/>
      <c r="BV116" s="110"/>
      <c r="BW116" s="110"/>
      <c r="BX116" s="110"/>
      <c r="BY116" s="110"/>
      <c r="BZ116" s="110"/>
      <c r="CA116" s="110"/>
      <c r="CB116" s="110"/>
      <c r="CC116" s="110"/>
      <c r="CD116" s="110"/>
      <c r="CE116" s="110"/>
      <c r="CF116" s="110"/>
    </row>
    <row r="117" spans="4:84" s="326" customFormat="1">
      <c r="D117" s="852"/>
      <c r="E117" s="325"/>
      <c r="N117" s="327"/>
      <c r="O117" s="327"/>
      <c r="Q117" s="338"/>
      <c r="R117" s="338"/>
      <c r="S117" s="338"/>
      <c r="T117" s="338"/>
      <c r="U117" s="338"/>
      <c r="V117" s="338"/>
      <c r="W117" s="338"/>
      <c r="X117" s="338"/>
      <c r="Y117" s="338"/>
      <c r="Z117" s="338"/>
      <c r="AA117" s="338"/>
      <c r="AB117" s="338"/>
      <c r="AC117" s="338"/>
      <c r="AD117" s="338"/>
      <c r="AE117" s="338"/>
      <c r="AF117" s="338"/>
      <c r="AG117" s="338"/>
      <c r="AH117" s="338"/>
      <c r="AI117" s="338"/>
      <c r="AJ117" s="338"/>
      <c r="AK117" s="338"/>
      <c r="AL117" s="338"/>
      <c r="AM117" s="338"/>
      <c r="AN117" s="338"/>
      <c r="AO117" s="338"/>
      <c r="AP117" s="338"/>
      <c r="AQ117" s="338"/>
      <c r="AR117" s="339"/>
      <c r="AS117" s="339"/>
      <c r="AT117" s="339"/>
      <c r="AU117" s="339"/>
      <c r="AV117" s="339"/>
      <c r="AW117" s="339"/>
      <c r="AX117" s="339"/>
      <c r="BB117" s="327"/>
      <c r="BH117" s="327"/>
      <c r="BK117" s="319"/>
      <c r="BL117" s="319"/>
      <c r="BM117" s="319"/>
      <c r="BN117" s="319"/>
      <c r="BO117" s="319"/>
      <c r="BP117" s="319"/>
      <c r="BQ117" s="319"/>
      <c r="BR117" s="319"/>
      <c r="BS117" s="319"/>
      <c r="BT117" s="319"/>
      <c r="BU117" s="110"/>
      <c r="BV117" s="110"/>
      <c r="BW117" s="110"/>
      <c r="BX117" s="110"/>
      <c r="BY117" s="110"/>
      <c r="BZ117" s="110"/>
      <c r="CA117" s="110"/>
      <c r="CB117" s="110"/>
      <c r="CC117" s="110"/>
      <c r="CD117" s="110"/>
      <c r="CE117" s="110"/>
      <c r="CF117" s="110"/>
    </row>
    <row r="118" spans="4:84" s="326" customFormat="1">
      <c r="D118" s="852"/>
      <c r="E118" s="325"/>
      <c r="N118" s="327"/>
      <c r="O118" s="327"/>
      <c r="U118" s="327"/>
      <c r="V118" s="327"/>
      <c r="W118" s="327"/>
      <c r="X118" s="327"/>
      <c r="Y118" s="327"/>
      <c r="Z118" s="327"/>
      <c r="BB118" s="327"/>
      <c r="BH118" s="327"/>
      <c r="BK118" s="319"/>
      <c r="BL118" s="319"/>
      <c r="BM118" s="319"/>
      <c r="BN118" s="319"/>
      <c r="BO118" s="319"/>
      <c r="BP118" s="319"/>
      <c r="BQ118" s="319"/>
      <c r="BR118" s="319"/>
      <c r="BS118" s="319"/>
      <c r="BT118" s="319"/>
      <c r="BU118" s="110"/>
      <c r="BV118" s="110"/>
      <c r="BW118" s="110"/>
      <c r="BX118" s="110"/>
      <c r="BY118" s="110"/>
      <c r="BZ118" s="110"/>
      <c r="CA118" s="110"/>
      <c r="CB118" s="110"/>
      <c r="CC118" s="110"/>
      <c r="CD118" s="110"/>
      <c r="CE118" s="110"/>
      <c r="CF118" s="110"/>
    </row>
    <row r="119" spans="4:84" s="326" customFormat="1">
      <c r="D119" s="852"/>
      <c r="E119" s="325"/>
      <c r="N119" s="327"/>
      <c r="O119" s="327"/>
      <c r="U119" s="327"/>
      <c r="V119" s="327"/>
      <c r="W119" s="327"/>
      <c r="X119" s="327"/>
      <c r="Y119" s="327"/>
      <c r="Z119" s="327"/>
      <c r="BB119" s="327"/>
      <c r="BH119" s="327"/>
      <c r="BK119" s="319"/>
      <c r="BL119" s="319"/>
      <c r="BM119" s="319"/>
      <c r="BN119" s="319"/>
      <c r="BO119" s="319"/>
      <c r="BP119" s="319"/>
      <c r="BQ119" s="319"/>
      <c r="BR119" s="319"/>
      <c r="BS119" s="319"/>
      <c r="BT119" s="319"/>
      <c r="BU119" s="110"/>
      <c r="BV119" s="110"/>
      <c r="BW119" s="110"/>
      <c r="BX119" s="110"/>
      <c r="BY119" s="110"/>
      <c r="BZ119" s="110"/>
      <c r="CA119" s="110"/>
      <c r="CB119" s="110"/>
      <c r="CC119" s="110"/>
      <c r="CD119" s="110"/>
      <c r="CE119" s="110"/>
      <c r="CF119" s="110"/>
    </row>
    <row r="120" spans="4:84" s="326" customFormat="1">
      <c r="D120" s="852"/>
      <c r="E120" s="325"/>
      <c r="N120" s="327"/>
      <c r="O120" s="327"/>
      <c r="U120" s="327"/>
      <c r="V120" s="327"/>
      <c r="W120" s="327"/>
      <c r="X120" s="327"/>
      <c r="Y120" s="327"/>
      <c r="Z120" s="327"/>
      <c r="BB120" s="327"/>
      <c r="BH120" s="327"/>
      <c r="BK120" s="319"/>
      <c r="BL120" s="319"/>
      <c r="BM120" s="319"/>
      <c r="BN120" s="319"/>
      <c r="BO120" s="319"/>
      <c r="BP120" s="319"/>
      <c r="BQ120" s="319"/>
      <c r="BR120" s="319"/>
      <c r="BS120" s="319"/>
      <c r="BT120" s="319"/>
      <c r="BU120" s="110"/>
      <c r="BV120" s="110"/>
      <c r="BW120" s="110"/>
      <c r="BX120" s="110"/>
      <c r="BY120" s="110"/>
      <c r="BZ120" s="110"/>
      <c r="CA120" s="110"/>
      <c r="CB120" s="110"/>
      <c r="CC120" s="110"/>
      <c r="CD120" s="110"/>
      <c r="CE120" s="110"/>
      <c r="CF120" s="110"/>
    </row>
    <row r="121" spans="4:84" s="326" customFormat="1">
      <c r="D121" s="852"/>
      <c r="E121" s="325"/>
      <c r="N121" s="327"/>
      <c r="O121" s="327"/>
      <c r="U121" s="327"/>
      <c r="V121" s="327"/>
      <c r="W121" s="327"/>
      <c r="X121" s="327"/>
      <c r="Y121" s="327"/>
      <c r="Z121" s="327"/>
      <c r="BB121" s="327"/>
      <c r="BH121" s="327"/>
      <c r="BK121" s="319"/>
      <c r="BL121" s="319"/>
      <c r="BM121" s="319"/>
      <c r="BN121" s="319"/>
      <c r="BO121" s="319"/>
      <c r="BP121" s="319"/>
      <c r="BQ121" s="319"/>
      <c r="BR121" s="319"/>
      <c r="BS121" s="319"/>
      <c r="BT121" s="319"/>
      <c r="BU121" s="110"/>
      <c r="BV121" s="110"/>
      <c r="BW121" s="110"/>
      <c r="BX121" s="110"/>
      <c r="BY121" s="110"/>
      <c r="BZ121" s="110"/>
      <c r="CA121" s="110"/>
      <c r="CB121" s="110"/>
      <c r="CC121" s="110"/>
      <c r="CD121" s="110"/>
      <c r="CE121" s="110"/>
      <c r="CF121" s="110"/>
    </row>
    <row r="122" spans="4:84" s="326" customFormat="1">
      <c r="D122" s="852"/>
      <c r="E122" s="325"/>
      <c r="N122" s="327"/>
      <c r="O122" s="327"/>
      <c r="U122" s="327"/>
      <c r="V122" s="327"/>
      <c r="W122" s="327"/>
      <c r="X122" s="327"/>
      <c r="Y122" s="327"/>
      <c r="Z122" s="327"/>
      <c r="BB122" s="327"/>
      <c r="BH122" s="327"/>
      <c r="BK122" s="319"/>
      <c r="BL122" s="319"/>
      <c r="BM122" s="319"/>
      <c r="BN122" s="319"/>
      <c r="BO122" s="319"/>
      <c r="BP122" s="319"/>
      <c r="BQ122" s="319"/>
      <c r="BR122" s="319"/>
      <c r="BS122" s="319"/>
      <c r="BT122" s="319"/>
      <c r="BU122" s="110"/>
      <c r="BV122" s="110"/>
      <c r="BW122" s="110"/>
      <c r="BX122" s="110"/>
      <c r="BY122" s="110"/>
      <c r="BZ122" s="110"/>
      <c r="CA122" s="110"/>
      <c r="CB122" s="110"/>
      <c r="CC122" s="110"/>
      <c r="CD122" s="110"/>
      <c r="CE122" s="110"/>
      <c r="CF122" s="110"/>
    </row>
    <row r="123" spans="4:84" s="326" customFormat="1">
      <c r="D123" s="852"/>
      <c r="E123" s="325"/>
      <c r="N123" s="327"/>
      <c r="O123" s="327"/>
      <c r="U123" s="327"/>
      <c r="V123" s="327"/>
      <c r="W123" s="327"/>
      <c r="X123" s="327"/>
      <c r="Y123" s="327"/>
      <c r="Z123" s="327"/>
      <c r="BB123" s="327"/>
      <c r="BH123" s="327"/>
      <c r="BK123" s="319"/>
      <c r="BL123" s="319"/>
      <c r="BM123" s="319"/>
      <c r="BN123" s="319"/>
      <c r="BO123" s="319"/>
      <c r="BP123" s="319"/>
      <c r="BQ123" s="319"/>
      <c r="BR123" s="319"/>
      <c r="BS123" s="319"/>
      <c r="BT123" s="319"/>
      <c r="BU123" s="110"/>
      <c r="BV123" s="110"/>
      <c r="BW123" s="110"/>
      <c r="BX123" s="110"/>
      <c r="BY123" s="110"/>
      <c r="BZ123" s="110"/>
      <c r="CA123" s="110"/>
      <c r="CB123" s="110"/>
      <c r="CC123" s="110"/>
      <c r="CD123" s="110"/>
      <c r="CE123" s="110"/>
      <c r="CF123" s="110"/>
    </row>
    <row r="124" spans="4:84" s="326" customFormat="1">
      <c r="D124" s="852"/>
      <c r="E124" s="325"/>
      <c r="N124" s="327"/>
      <c r="O124" s="327"/>
      <c r="U124" s="327"/>
      <c r="V124" s="327"/>
      <c r="W124" s="327"/>
      <c r="X124" s="327"/>
      <c r="Y124" s="327"/>
      <c r="Z124" s="327"/>
      <c r="BB124" s="327"/>
      <c r="BH124" s="327"/>
      <c r="BK124" s="319"/>
      <c r="BL124" s="319"/>
      <c r="BM124" s="319"/>
      <c r="BN124" s="319"/>
      <c r="BO124" s="319"/>
      <c r="BP124" s="319"/>
      <c r="BQ124" s="319"/>
      <c r="BR124" s="319"/>
      <c r="BS124" s="319"/>
      <c r="BT124" s="319"/>
      <c r="BU124" s="110"/>
      <c r="BV124" s="110"/>
      <c r="BW124" s="110"/>
      <c r="BX124" s="110"/>
      <c r="BY124" s="110"/>
      <c r="BZ124" s="110"/>
      <c r="CA124" s="110"/>
      <c r="CB124" s="110"/>
      <c r="CC124" s="110"/>
      <c r="CD124" s="110"/>
      <c r="CE124" s="110"/>
      <c r="CF124" s="110"/>
    </row>
    <row r="125" spans="4:84" s="326" customFormat="1">
      <c r="D125" s="852"/>
      <c r="E125" s="325"/>
      <c r="N125" s="327"/>
      <c r="O125" s="327"/>
      <c r="U125" s="327"/>
      <c r="V125" s="327"/>
      <c r="W125" s="327"/>
      <c r="X125" s="327"/>
      <c r="Y125" s="327"/>
      <c r="Z125" s="327"/>
      <c r="BB125" s="327"/>
      <c r="BH125" s="327"/>
      <c r="BK125" s="319"/>
      <c r="BL125" s="319"/>
      <c r="BM125" s="319"/>
      <c r="BN125" s="319"/>
      <c r="BO125" s="319"/>
      <c r="BP125" s="319"/>
      <c r="BQ125" s="319"/>
      <c r="BR125" s="319"/>
      <c r="BS125" s="319"/>
      <c r="BT125" s="319"/>
      <c r="BU125" s="110"/>
      <c r="BV125" s="110"/>
      <c r="BW125" s="110"/>
      <c r="BX125" s="110"/>
      <c r="BY125" s="110"/>
      <c r="BZ125" s="110"/>
      <c r="CA125" s="110"/>
      <c r="CB125" s="110"/>
      <c r="CC125" s="110"/>
      <c r="CD125" s="110"/>
      <c r="CE125" s="110"/>
      <c r="CF125" s="110"/>
    </row>
    <row r="126" spans="4:84" s="326" customFormat="1">
      <c r="D126" s="852"/>
      <c r="E126" s="325"/>
      <c r="N126" s="327"/>
      <c r="O126" s="327"/>
      <c r="U126" s="327"/>
      <c r="V126" s="327"/>
      <c r="W126" s="327"/>
      <c r="X126" s="327"/>
      <c r="Y126" s="327"/>
      <c r="Z126" s="327"/>
      <c r="BB126" s="327"/>
      <c r="BH126" s="327"/>
      <c r="BK126" s="319"/>
      <c r="BL126" s="319"/>
      <c r="BM126" s="319"/>
      <c r="BN126" s="319"/>
      <c r="BO126" s="319"/>
      <c r="BP126" s="319"/>
      <c r="BQ126" s="319"/>
      <c r="BR126" s="319"/>
      <c r="BS126" s="319"/>
      <c r="BT126" s="319"/>
      <c r="BU126" s="110"/>
      <c r="BV126" s="110"/>
      <c r="BW126" s="110"/>
      <c r="BX126" s="110"/>
      <c r="BY126" s="110"/>
      <c r="BZ126" s="110"/>
      <c r="CA126" s="110"/>
      <c r="CB126" s="110"/>
      <c r="CC126" s="110"/>
      <c r="CD126" s="110"/>
      <c r="CE126" s="110"/>
      <c r="CF126" s="110"/>
    </row>
    <row r="127" spans="4:84" s="326" customFormat="1">
      <c r="D127" s="852"/>
      <c r="E127" s="325"/>
      <c r="N127" s="327"/>
      <c r="O127" s="327"/>
      <c r="U127" s="327"/>
      <c r="V127" s="327"/>
      <c r="W127" s="327"/>
      <c r="X127" s="327"/>
      <c r="Y127" s="327"/>
      <c r="Z127" s="327"/>
      <c r="BB127" s="327"/>
      <c r="BH127" s="327"/>
      <c r="BK127" s="319"/>
      <c r="BL127" s="319"/>
      <c r="BM127" s="319"/>
      <c r="BN127" s="319"/>
      <c r="BO127" s="319"/>
      <c r="BP127" s="319"/>
      <c r="BQ127" s="319"/>
      <c r="BR127" s="319"/>
      <c r="BS127" s="319"/>
      <c r="BT127" s="319"/>
      <c r="BU127" s="110"/>
      <c r="BV127" s="110"/>
      <c r="BW127" s="110"/>
      <c r="BX127" s="110"/>
      <c r="BY127" s="110"/>
      <c r="BZ127" s="110"/>
      <c r="CA127" s="110"/>
      <c r="CB127" s="110"/>
      <c r="CC127" s="110"/>
      <c r="CD127" s="110"/>
      <c r="CE127" s="110"/>
      <c r="CF127" s="110"/>
    </row>
    <row r="128" spans="4:84" s="326" customFormat="1">
      <c r="D128" s="852"/>
      <c r="E128" s="325"/>
      <c r="N128" s="327"/>
      <c r="O128" s="327"/>
      <c r="U128" s="327"/>
      <c r="V128" s="327"/>
      <c r="W128" s="327"/>
      <c r="X128" s="327"/>
      <c r="Y128" s="327"/>
      <c r="Z128" s="327"/>
      <c r="BB128" s="327"/>
      <c r="BH128" s="327"/>
      <c r="BK128" s="319"/>
      <c r="BL128" s="319"/>
      <c r="BM128" s="319"/>
      <c r="BN128" s="319"/>
      <c r="BO128" s="319"/>
      <c r="BP128" s="319"/>
      <c r="BQ128" s="319"/>
      <c r="BR128" s="319"/>
      <c r="BS128" s="319"/>
      <c r="BT128" s="319"/>
      <c r="BU128" s="110"/>
      <c r="BV128" s="110"/>
      <c r="BW128" s="110"/>
      <c r="BX128" s="110"/>
      <c r="BY128" s="110"/>
      <c r="BZ128" s="110"/>
      <c r="CA128" s="110"/>
      <c r="CB128" s="110"/>
      <c r="CC128" s="110"/>
      <c r="CD128" s="110"/>
      <c r="CE128" s="110"/>
      <c r="CF128" s="110"/>
    </row>
    <row r="129" spans="4:84" s="326" customFormat="1">
      <c r="D129" s="852"/>
      <c r="E129" s="325"/>
      <c r="N129" s="327"/>
      <c r="O129" s="327"/>
      <c r="U129" s="327"/>
      <c r="V129" s="327"/>
      <c r="W129" s="327"/>
      <c r="X129" s="327"/>
      <c r="Y129" s="327"/>
      <c r="Z129" s="327"/>
      <c r="BB129" s="327"/>
      <c r="BH129" s="327"/>
      <c r="BK129" s="319"/>
      <c r="BL129" s="319"/>
      <c r="BM129" s="319"/>
      <c r="BN129" s="319"/>
      <c r="BO129" s="319"/>
      <c r="BP129" s="319"/>
      <c r="BQ129" s="319"/>
      <c r="BR129" s="319"/>
      <c r="BS129" s="319"/>
      <c r="BT129" s="319"/>
      <c r="BU129" s="110"/>
      <c r="BV129" s="110"/>
      <c r="BW129" s="110"/>
      <c r="BX129" s="110"/>
      <c r="BY129" s="110"/>
      <c r="BZ129" s="110"/>
      <c r="CA129" s="110"/>
      <c r="CB129" s="110"/>
      <c r="CC129" s="110"/>
      <c r="CD129" s="110"/>
      <c r="CE129" s="110"/>
      <c r="CF129" s="110"/>
    </row>
    <row r="130" spans="4:84" s="326" customFormat="1">
      <c r="D130" s="852"/>
      <c r="E130" s="325"/>
      <c r="N130" s="327"/>
      <c r="O130" s="327"/>
      <c r="U130" s="327"/>
      <c r="V130" s="327"/>
      <c r="W130" s="327"/>
      <c r="X130" s="327"/>
      <c r="Y130" s="327"/>
      <c r="Z130" s="327"/>
      <c r="BB130" s="327"/>
      <c r="BH130" s="327"/>
      <c r="BK130" s="319"/>
      <c r="BL130" s="319"/>
      <c r="BM130" s="319"/>
      <c r="BN130" s="319"/>
      <c r="BO130" s="319"/>
      <c r="BP130" s="319"/>
      <c r="BQ130" s="319"/>
      <c r="BR130" s="319"/>
      <c r="BS130" s="319"/>
      <c r="BT130" s="319"/>
      <c r="BU130" s="110"/>
      <c r="BV130" s="110"/>
      <c r="BW130" s="110"/>
      <c r="BX130" s="110"/>
      <c r="BY130" s="110"/>
      <c r="BZ130" s="110"/>
      <c r="CA130" s="110"/>
      <c r="CB130" s="110"/>
      <c r="CC130" s="110"/>
      <c r="CD130" s="110"/>
      <c r="CE130" s="110"/>
      <c r="CF130" s="110"/>
    </row>
    <row r="131" spans="4:84" s="326" customFormat="1">
      <c r="D131" s="852"/>
      <c r="E131" s="325"/>
      <c r="N131" s="327"/>
      <c r="O131" s="327"/>
      <c r="U131" s="327"/>
      <c r="V131" s="327"/>
      <c r="W131" s="327"/>
      <c r="X131" s="327"/>
      <c r="Y131" s="327"/>
      <c r="Z131" s="327"/>
      <c r="BB131" s="327"/>
      <c r="BH131" s="327"/>
      <c r="BK131" s="319"/>
      <c r="BL131" s="319"/>
      <c r="BM131" s="319"/>
      <c r="BN131" s="319"/>
      <c r="BO131" s="319"/>
      <c r="BP131" s="319"/>
      <c r="BQ131" s="319"/>
      <c r="BR131" s="319"/>
      <c r="BS131" s="319"/>
      <c r="BT131" s="319"/>
      <c r="BU131" s="110"/>
      <c r="BV131" s="110"/>
      <c r="BW131" s="110"/>
      <c r="BX131" s="110"/>
      <c r="BY131" s="110"/>
      <c r="BZ131" s="110"/>
      <c r="CA131" s="110"/>
      <c r="CB131" s="110"/>
      <c r="CC131" s="110"/>
      <c r="CD131" s="110"/>
      <c r="CE131" s="110"/>
      <c r="CF131" s="110"/>
    </row>
    <row r="132" spans="4:84" s="326" customFormat="1" ht="7.8">
      <c r="D132" s="852"/>
      <c r="E132" s="325"/>
      <c r="N132" s="327"/>
      <c r="O132" s="327"/>
      <c r="U132" s="327"/>
      <c r="V132" s="327"/>
      <c r="W132" s="327"/>
      <c r="X132" s="327"/>
      <c r="Y132" s="327"/>
      <c r="Z132" s="327"/>
      <c r="BB132" s="327"/>
      <c r="BH132" s="327"/>
      <c r="BK132" s="104" t="e">
        <f t="shared" ref="BK132:CF132" si="206">SUM(BK31:BK105)</f>
        <v>#DIV/0!</v>
      </c>
      <c r="BL132" s="104" t="e">
        <f t="shared" si="206"/>
        <v>#DIV/0!</v>
      </c>
      <c r="BM132" s="104" t="e">
        <f t="shared" si="206"/>
        <v>#DIV/0!</v>
      </c>
      <c r="BN132" s="104" t="e">
        <f t="shared" si="206"/>
        <v>#DIV/0!</v>
      </c>
      <c r="BO132" s="104" t="e">
        <f t="shared" si="206"/>
        <v>#DIV/0!</v>
      </c>
      <c r="BP132" s="104" t="e">
        <f t="shared" si="206"/>
        <v>#DIV/0!</v>
      </c>
      <c r="BQ132" s="104" t="e">
        <f t="shared" si="206"/>
        <v>#DIV/0!</v>
      </c>
      <c r="BR132" s="104" t="e">
        <f t="shared" si="206"/>
        <v>#DIV/0!</v>
      </c>
      <c r="BS132" s="104" t="e">
        <f t="shared" si="206"/>
        <v>#DIV/0!</v>
      </c>
      <c r="BT132" s="104" t="e">
        <f t="shared" si="206"/>
        <v>#DIV/0!</v>
      </c>
      <c r="BU132" s="104" t="e">
        <f t="shared" si="206"/>
        <v>#REF!</v>
      </c>
      <c r="BV132" s="104" t="e">
        <f t="shared" si="206"/>
        <v>#REF!</v>
      </c>
      <c r="BW132" s="104" t="e">
        <f t="shared" si="206"/>
        <v>#REF!</v>
      </c>
      <c r="BX132" s="104" t="e">
        <f t="shared" si="206"/>
        <v>#REF!</v>
      </c>
      <c r="BY132" s="104" t="e">
        <f t="shared" si="206"/>
        <v>#REF!</v>
      </c>
      <c r="BZ132" s="104" t="e">
        <f t="shared" si="206"/>
        <v>#REF!</v>
      </c>
      <c r="CA132" s="104" t="e">
        <f t="shared" si="206"/>
        <v>#REF!</v>
      </c>
      <c r="CB132" s="104" t="e">
        <f t="shared" si="206"/>
        <v>#REF!</v>
      </c>
      <c r="CC132" s="104" t="e">
        <f t="shared" si="206"/>
        <v>#REF!</v>
      </c>
      <c r="CD132" s="104" t="e">
        <f t="shared" si="206"/>
        <v>#REF!</v>
      </c>
      <c r="CE132" s="104" t="e">
        <f t="shared" si="206"/>
        <v>#REF!</v>
      </c>
      <c r="CF132" s="104" t="e">
        <f t="shared" si="206"/>
        <v>#REF!</v>
      </c>
    </row>
    <row r="133" spans="4:84" s="326" customFormat="1">
      <c r="D133" s="852"/>
      <c r="E133" s="325"/>
      <c r="N133" s="327"/>
      <c r="O133" s="327"/>
      <c r="U133" s="327"/>
      <c r="V133" s="327"/>
      <c r="W133" s="327"/>
      <c r="X133" s="327"/>
      <c r="Y133" s="327"/>
      <c r="Z133" s="327"/>
      <c r="BB133" s="327"/>
      <c r="BH133" s="327"/>
      <c r="BK133" s="329" t="e">
        <f>BK132/$E$419</f>
        <v>#DIV/0!</v>
      </c>
      <c r="BL133" s="329" t="e">
        <f>BL132/BK132</f>
        <v>#DIV/0!</v>
      </c>
      <c r="BM133" s="329" t="e">
        <f>BM132/$E$419</f>
        <v>#DIV/0!</v>
      </c>
      <c r="BN133" s="329" t="e">
        <f>BN132/BM132</f>
        <v>#DIV/0!</v>
      </c>
      <c r="BO133" s="329" t="e">
        <f>BO132/$E$419</f>
        <v>#DIV/0!</v>
      </c>
      <c r="BP133" s="329" t="e">
        <f>BP132/BO132</f>
        <v>#DIV/0!</v>
      </c>
      <c r="BQ133" s="329" t="e">
        <f>BQ132/$E$419</f>
        <v>#DIV/0!</v>
      </c>
      <c r="BR133" s="329" t="e">
        <f>BR132/BQ132</f>
        <v>#DIV/0!</v>
      </c>
      <c r="BS133" s="329" t="e">
        <f>BS132/$E$419</f>
        <v>#DIV/0!</v>
      </c>
      <c r="BT133" s="329" t="e">
        <f>BT132/BS132</f>
        <v>#DIV/0!</v>
      </c>
      <c r="BU133" s="110"/>
      <c r="BV133" s="110"/>
      <c r="BW133" s="110"/>
      <c r="BX133" s="110"/>
      <c r="BY133" s="110"/>
      <c r="BZ133" s="110"/>
      <c r="CA133" s="110"/>
      <c r="CB133" s="110"/>
      <c r="CC133" s="110"/>
      <c r="CD133" s="110"/>
      <c r="CE133" s="110"/>
      <c r="CF133" s="110"/>
    </row>
    <row r="134" spans="4:84" s="326" customFormat="1">
      <c r="D134" s="852"/>
      <c r="E134" s="325"/>
      <c r="N134" s="327"/>
      <c r="O134" s="327"/>
      <c r="U134" s="327"/>
      <c r="V134" s="327"/>
      <c r="W134" s="327"/>
      <c r="X134" s="327"/>
      <c r="Y134" s="327"/>
      <c r="Z134" s="327"/>
      <c r="BB134" s="327"/>
      <c r="BH134" s="327"/>
      <c r="BK134" s="110"/>
      <c r="BL134" s="110"/>
      <c r="BM134" s="110"/>
      <c r="BN134" s="110"/>
      <c r="BO134" s="110"/>
      <c r="BP134" s="110"/>
      <c r="BQ134" s="110"/>
      <c r="BR134" s="110"/>
      <c r="BS134" s="110"/>
      <c r="BT134" s="110"/>
      <c r="BU134" s="110"/>
      <c r="BV134" s="110"/>
      <c r="BW134" s="110"/>
      <c r="BX134" s="110"/>
      <c r="BY134" s="110"/>
      <c r="BZ134" s="110"/>
      <c r="CA134" s="110"/>
      <c r="CB134" s="110"/>
      <c r="CC134" s="110"/>
      <c r="CD134" s="110"/>
      <c r="CE134" s="110"/>
      <c r="CF134" s="110"/>
    </row>
    <row r="135" spans="4:84" s="326" customFormat="1">
      <c r="D135" s="852"/>
      <c r="E135" s="325"/>
      <c r="N135" s="327"/>
      <c r="O135" s="327"/>
      <c r="U135" s="327"/>
      <c r="V135" s="327"/>
      <c r="W135" s="327"/>
      <c r="X135" s="327"/>
      <c r="Y135" s="327"/>
      <c r="Z135" s="327"/>
      <c r="BB135" s="327"/>
      <c r="BH135" s="327"/>
      <c r="BK135" s="110" t="e">
        <f>BK132+BM132+BO132+BQ132+BS132</f>
        <v>#DIV/0!</v>
      </c>
      <c r="BL135" s="110"/>
      <c r="BM135" s="110"/>
      <c r="BN135" s="110"/>
      <c r="BO135" s="110"/>
      <c r="BP135" s="110"/>
      <c r="BQ135" s="110"/>
      <c r="BR135" s="110"/>
      <c r="BS135" s="110"/>
      <c r="BT135" s="110"/>
      <c r="BU135" s="110"/>
      <c r="BV135" s="110"/>
      <c r="BW135" s="110"/>
      <c r="BX135" s="110"/>
      <c r="BY135" s="110"/>
      <c r="BZ135" s="110"/>
      <c r="CA135" s="110"/>
      <c r="CB135" s="110"/>
      <c r="CC135" s="110"/>
      <c r="CD135" s="110"/>
      <c r="CE135" s="110"/>
      <c r="CF135" s="110"/>
    </row>
    <row r="136" spans="4:84" s="326" customFormat="1">
      <c r="D136" s="852"/>
      <c r="E136" s="325"/>
      <c r="N136" s="327"/>
      <c r="O136" s="327"/>
      <c r="U136" s="327"/>
      <c r="V136" s="327"/>
      <c r="W136" s="327"/>
      <c r="X136" s="327"/>
      <c r="Y136" s="327"/>
      <c r="Z136" s="327"/>
      <c r="BB136" s="327"/>
      <c r="BH136" s="327"/>
      <c r="BK136" s="110" t="e">
        <f>BK135-#REF!</f>
        <v>#DIV/0!</v>
      </c>
      <c r="BL136" s="110"/>
      <c r="BM136" s="110"/>
      <c r="BN136" s="110"/>
      <c r="BO136" s="110"/>
      <c r="BP136" s="110"/>
      <c r="BQ136" s="110"/>
      <c r="BR136" s="110"/>
      <c r="BS136" s="110"/>
      <c r="BT136" s="110"/>
      <c r="BU136" s="110"/>
      <c r="BV136" s="110"/>
      <c r="BW136" s="110"/>
      <c r="BX136" s="110"/>
      <c r="BY136" s="110"/>
      <c r="BZ136" s="110"/>
      <c r="CA136" s="110"/>
      <c r="CB136" s="110"/>
      <c r="CC136" s="110"/>
      <c r="CD136" s="110"/>
      <c r="CE136" s="110"/>
      <c r="CF136" s="110"/>
    </row>
    <row r="137" spans="4:84" s="326" customFormat="1">
      <c r="D137" s="852"/>
      <c r="E137" s="325"/>
      <c r="N137" s="327"/>
      <c r="O137" s="327"/>
      <c r="U137" s="327"/>
      <c r="V137" s="327"/>
      <c r="W137" s="327"/>
      <c r="X137" s="327"/>
      <c r="Y137" s="327"/>
      <c r="Z137" s="327"/>
      <c r="BB137" s="327"/>
      <c r="BH137" s="327"/>
      <c r="BK137" s="110"/>
      <c r="BL137" s="110"/>
      <c r="BM137" s="110"/>
      <c r="BN137" s="110"/>
      <c r="BO137" s="110"/>
      <c r="BP137" s="110"/>
      <c r="BQ137" s="110"/>
      <c r="BR137" s="110"/>
      <c r="BS137" s="110"/>
      <c r="BT137" s="110"/>
      <c r="BU137" s="110"/>
      <c r="BV137" s="110"/>
      <c r="BW137" s="110"/>
      <c r="BX137" s="110"/>
      <c r="BY137" s="110"/>
      <c r="BZ137" s="110"/>
      <c r="CA137" s="110"/>
      <c r="CB137" s="110"/>
      <c r="CC137" s="110"/>
      <c r="CD137" s="110"/>
      <c r="CE137" s="110"/>
      <c r="CF137" s="110"/>
    </row>
    <row r="138" spans="4:84" s="326" customFormat="1">
      <c r="D138" s="852"/>
      <c r="E138" s="325"/>
      <c r="N138" s="327"/>
      <c r="O138" s="327"/>
      <c r="U138" s="327"/>
      <c r="V138" s="327"/>
      <c r="W138" s="327"/>
      <c r="X138" s="327"/>
      <c r="Y138" s="327"/>
      <c r="Z138" s="327"/>
      <c r="BB138" s="327"/>
      <c r="BH138" s="327"/>
      <c r="BK138" s="110"/>
      <c r="BL138" s="110"/>
      <c r="BM138" s="110"/>
      <c r="BN138" s="110"/>
      <c r="BO138" s="110"/>
      <c r="BP138" s="110"/>
      <c r="BQ138" s="110"/>
      <c r="BR138" s="110"/>
      <c r="BS138" s="110"/>
      <c r="BT138" s="110"/>
      <c r="BU138" s="110"/>
      <c r="BV138" s="110"/>
      <c r="BW138" s="110"/>
      <c r="BX138" s="110"/>
      <c r="BY138" s="110"/>
      <c r="BZ138" s="110"/>
      <c r="CA138" s="110"/>
      <c r="CB138" s="110"/>
      <c r="CC138" s="110"/>
      <c r="CD138" s="110"/>
      <c r="CE138" s="110"/>
      <c r="CF138" s="110"/>
    </row>
    <row r="139" spans="4:84" s="326" customFormat="1">
      <c r="D139" s="852"/>
      <c r="E139" s="325"/>
      <c r="N139" s="327"/>
      <c r="O139" s="327"/>
      <c r="U139" s="327"/>
      <c r="V139" s="327"/>
      <c r="W139" s="327"/>
      <c r="X139" s="327"/>
      <c r="Y139" s="327"/>
      <c r="Z139" s="327"/>
      <c r="BB139" s="327"/>
      <c r="BH139" s="327"/>
      <c r="BK139" s="110"/>
      <c r="BL139" s="110"/>
      <c r="BM139" s="110"/>
      <c r="BN139" s="110"/>
      <c r="BO139" s="110"/>
      <c r="BP139" s="110"/>
      <c r="BQ139" s="110"/>
      <c r="BR139" s="110"/>
      <c r="BS139" s="110"/>
      <c r="BT139" s="110"/>
      <c r="BU139" s="110"/>
      <c r="BV139" s="110"/>
      <c r="BW139" s="110"/>
      <c r="BX139" s="110"/>
      <c r="BY139" s="110"/>
      <c r="BZ139" s="110"/>
      <c r="CA139" s="110"/>
      <c r="CB139" s="110"/>
      <c r="CC139" s="110"/>
      <c r="CD139" s="110"/>
      <c r="CE139" s="110"/>
      <c r="CF139" s="110"/>
    </row>
    <row r="140" spans="4:84" s="326" customFormat="1">
      <c r="D140" s="852"/>
      <c r="E140" s="325"/>
      <c r="N140" s="327"/>
      <c r="O140" s="327"/>
      <c r="U140" s="327"/>
      <c r="V140" s="327"/>
      <c r="W140" s="327"/>
      <c r="X140" s="327"/>
      <c r="Y140" s="327"/>
      <c r="Z140" s="327"/>
      <c r="BB140" s="327"/>
      <c r="BH140" s="327"/>
      <c r="BK140" s="110"/>
      <c r="BL140" s="110"/>
      <c r="BM140" s="110"/>
      <c r="BN140" s="110"/>
      <c r="BO140" s="110"/>
      <c r="BP140" s="110"/>
      <c r="BQ140" s="110"/>
      <c r="BR140" s="110"/>
      <c r="BS140" s="110"/>
      <c r="BT140" s="110"/>
      <c r="BU140" s="110"/>
      <c r="BV140" s="110"/>
      <c r="BW140" s="110"/>
      <c r="BX140" s="110"/>
      <c r="BY140" s="110"/>
      <c r="BZ140" s="110"/>
      <c r="CA140" s="110"/>
      <c r="CB140" s="110"/>
      <c r="CC140" s="110"/>
      <c r="CD140" s="110"/>
      <c r="CE140" s="110"/>
      <c r="CF140" s="110"/>
    </row>
    <row r="141" spans="4:84" s="326" customFormat="1">
      <c r="D141" s="852"/>
      <c r="E141" s="325"/>
      <c r="N141" s="327"/>
      <c r="O141" s="327"/>
      <c r="U141" s="327"/>
      <c r="V141" s="327"/>
      <c r="W141" s="327"/>
      <c r="X141" s="327"/>
      <c r="Y141" s="327"/>
      <c r="Z141" s="327"/>
      <c r="BB141" s="327"/>
      <c r="BH141" s="327"/>
      <c r="BK141" s="110"/>
      <c r="BL141" s="110"/>
      <c r="BM141" s="110"/>
      <c r="BN141" s="110"/>
      <c r="BO141" s="110"/>
      <c r="BP141" s="110"/>
      <c r="BQ141" s="110"/>
      <c r="BR141" s="110"/>
      <c r="BS141" s="110"/>
      <c r="BT141" s="110"/>
      <c r="BU141" s="110"/>
      <c r="BV141" s="110"/>
      <c r="BW141" s="110"/>
      <c r="BX141" s="110"/>
      <c r="BY141" s="110"/>
      <c r="BZ141" s="110"/>
      <c r="CA141" s="110"/>
      <c r="CB141" s="110"/>
      <c r="CC141" s="110"/>
      <c r="CD141" s="110"/>
      <c r="CE141" s="110"/>
      <c r="CF141" s="110"/>
    </row>
    <row r="142" spans="4:84" s="326" customFormat="1">
      <c r="D142" s="852"/>
      <c r="E142" s="325"/>
      <c r="N142" s="327"/>
      <c r="O142" s="327"/>
      <c r="U142" s="327"/>
      <c r="V142" s="327"/>
      <c r="W142" s="327"/>
      <c r="X142" s="327"/>
      <c r="Y142" s="327"/>
      <c r="Z142" s="327"/>
      <c r="BB142" s="327"/>
      <c r="BH142" s="327"/>
      <c r="BK142" s="110"/>
      <c r="BL142" s="110"/>
      <c r="BM142" s="110"/>
      <c r="BN142" s="110"/>
      <c r="BO142" s="110"/>
      <c r="BP142" s="110"/>
      <c r="BQ142" s="110"/>
      <c r="BR142" s="110"/>
      <c r="BS142" s="110"/>
      <c r="BT142" s="110"/>
      <c r="BU142" s="110"/>
      <c r="BV142" s="110"/>
      <c r="BW142" s="110"/>
      <c r="BX142" s="110"/>
      <c r="BY142" s="110"/>
      <c r="BZ142" s="110"/>
      <c r="CA142" s="110"/>
      <c r="CB142" s="110"/>
      <c r="CC142" s="110"/>
      <c r="CD142" s="110"/>
      <c r="CE142" s="110"/>
      <c r="CF142" s="110"/>
    </row>
    <row r="143" spans="4:84" s="326" customFormat="1">
      <c r="D143" s="852"/>
      <c r="E143" s="325"/>
      <c r="N143" s="327"/>
      <c r="O143" s="327"/>
      <c r="U143" s="327"/>
      <c r="V143" s="327"/>
      <c r="W143" s="327"/>
      <c r="X143" s="327"/>
      <c r="Y143" s="327"/>
      <c r="Z143" s="327"/>
      <c r="BB143" s="327"/>
      <c r="BH143" s="327"/>
      <c r="BK143" s="110"/>
      <c r="BL143" s="110"/>
      <c r="BM143" s="110"/>
      <c r="BN143" s="110"/>
      <c r="BO143" s="110"/>
      <c r="BP143" s="110"/>
      <c r="BQ143" s="110"/>
      <c r="BR143" s="110"/>
      <c r="BS143" s="110"/>
      <c r="BT143" s="110"/>
      <c r="BU143" s="110"/>
      <c r="BV143" s="110"/>
      <c r="BW143" s="110"/>
      <c r="BX143" s="110"/>
      <c r="BY143" s="110"/>
      <c r="BZ143" s="110"/>
      <c r="CA143" s="110"/>
      <c r="CB143" s="110"/>
      <c r="CC143" s="110"/>
      <c r="CD143" s="110"/>
      <c r="CE143" s="110"/>
      <c r="CF143" s="110"/>
    </row>
    <row r="144" spans="4:84" s="326" customFormat="1">
      <c r="D144" s="852"/>
      <c r="E144" s="325"/>
      <c r="N144" s="327"/>
      <c r="O144" s="327"/>
      <c r="U144" s="327"/>
      <c r="V144" s="327"/>
      <c r="W144" s="327"/>
      <c r="X144" s="327"/>
      <c r="Y144" s="327"/>
      <c r="Z144" s="327"/>
      <c r="BB144" s="327"/>
      <c r="BH144" s="327"/>
      <c r="BK144" s="110"/>
      <c r="BL144" s="110"/>
      <c r="BM144" s="110"/>
      <c r="BN144" s="110"/>
      <c r="BO144" s="110"/>
      <c r="BP144" s="110"/>
      <c r="BQ144" s="110"/>
      <c r="BR144" s="110"/>
      <c r="BS144" s="110"/>
      <c r="BT144" s="110"/>
      <c r="BU144" s="110"/>
      <c r="BV144" s="110"/>
      <c r="BW144" s="110"/>
      <c r="BX144" s="110"/>
      <c r="BY144" s="110"/>
      <c r="BZ144" s="110"/>
      <c r="CA144" s="110"/>
      <c r="CB144" s="110"/>
      <c r="CC144" s="110"/>
      <c r="CD144" s="110"/>
      <c r="CE144" s="110"/>
      <c r="CF144" s="110"/>
    </row>
    <row r="145" spans="4:84" s="326" customFormat="1">
      <c r="D145" s="852"/>
      <c r="E145" s="325"/>
      <c r="N145" s="327"/>
      <c r="O145" s="327"/>
      <c r="U145" s="327"/>
      <c r="V145" s="327"/>
      <c r="W145" s="327"/>
      <c r="X145" s="327"/>
      <c r="Y145" s="327"/>
      <c r="Z145" s="327"/>
      <c r="BB145" s="327"/>
      <c r="BH145" s="327"/>
      <c r="BK145" s="110"/>
      <c r="BL145" s="110"/>
      <c r="BM145" s="110"/>
      <c r="BN145" s="110"/>
      <c r="BO145" s="110"/>
      <c r="BP145" s="110"/>
      <c r="BQ145" s="110"/>
      <c r="BR145" s="110"/>
      <c r="BS145" s="110"/>
      <c r="BT145" s="110"/>
      <c r="BU145" s="110"/>
      <c r="BV145" s="110"/>
      <c r="BW145" s="110"/>
      <c r="BX145" s="110"/>
      <c r="BY145" s="110"/>
      <c r="BZ145" s="110"/>
      <c r="CA145" s="110"/>
      <c r="CB145" s="110"/>
      <c r="CC145" s="110"/>
      <c r="CD145" s="110"/>
      <c r="CE145" s="110"/>
      <c r="CF145" s="110"/>
    </row>
    <row r="146" spans="4:84" s="326" customFormat="1">
      <c r="D146" s="852"/>
      <c r="E146" s="325"/>
      <c r="N146" s="327"/>
      <c r="O146" s="327"/>
      <c r="U146" s="327"/>
      <c r="V146" s="327"/>
      <c r="W146" s="327"/>
      <c r="X146" s="327"/>
      <c r="Y146" s="327"/>
      <c r="Z146" s="327"/>
      <c r="BB146" s="327"/>
      <c r="BH146" s="327"/>
      <c r="BK146" s="110"/>
      <c r="BL146" s="110"/>
      <c r="BM146" s="110"/>
      <c r="BN146" s="110"/>
      <c r="BO146" s="110"/>
      <c r="BP146" s="110"/>
      <c r="BQ146" s="110"/>
      <c r="BR146" s="110"/>
      <c r="BS146" s="110"/>
      <c r="BT146" s="110"/>
      <c r="BU146" s="110"/>
      <c r="BV146" s="110"/>
      <c r="BW146" s="110"/>
      <c r="BX146" s="110"/>
      <c r="BY146" s="110"/>
      <c r="BZ146" s="110"/>
      <c r="CA146" s="110"/>
      <c r="CB146" s="110"/>
      <c r="CC146" s="110"/>
      <c r="CD146" s="110"/>
      <c r="CE146" s="110"/>
      <c r="CF146" s="110"/>
    </row>
    <row r="147" spans="4:84" s="326" customFormat="1">
      <c r="D147" s="852"/>
      <c r="E147" s="325"/>
      <c r="N147" s="327"/>
      <c r="O147" s="327"/>
      <c r="U147" s="327"/>
      <c r="V147" s="327"/>
      <c r="W147" s="327"/>
      <c r="X147" s="327"/>
      <c r="Y147" s="327"/>
      <c r="Z147" s="327"/>
      <c r="BB147" s="327"/>
      <c r="BH147" s="327"/>
      <c r="BK147" s="110"/>
      <c r="BL147" s="110"/>
      <c r="BM147" s="110"/>
      <c r="BN147" s="110"/>
      <c r="BO147" s="110"/>
      <c r="BP147" s="110"/>
      <c r="BQ147" s="110"/>
      <c r="BR147" s="110"/>
      <c r="BS147" s="110"/>
      <c r="BT147" s="110"/>
      <c r="BU147" s="110"/>
      <c r="BV147" s="110"/>
      <c r="BW147" s="110"/>
      <c r="BX147" s="110"/>
      <c r="BY147" s="110"/>
      <c r="BZ147" s="110"/>
      <c r="CA147" s="110"/>
      <c r="CB147" s="110"/>
      <c r="CC147" s="110"/>
      <c r="CD147" s="110"/>
      <c r="CE147" s="110"/>
      <c r="CF147" s="110"/>
    </row>
    <row r="148" spans="4:84" s="326" customFormat="1">
      <c r="D148" s="852"/>
      <c r="E148" s="325"/>
      <c r="N148" s="327"/>
      <c r="O148" s="327"/>
      <c r="U148" s="327"/>
      <c r="V148" s="327"/>
      <c r="W148" s="327"/>
      <c r="X148" s="327"/>
      <c r="Y148" s="327"/>
      <c r="Z148" s="327"/>
      <c r="BB148" s="327"/>
      <c r="BH148" s="327"/>
      <c r="BK148" s="110"/>
      <c r="BL148" s="110"/>
      <c r="BM148" s="110"/>
      <c r="BN148" s="110"/>
      <c r="BO148" s="110"/>
      <c r="BP148" s="110"/>
      <c r="BQ148" s="110"/>
      <c r="BR148" s="110"/>
      <c r="BS148" s="110"/>
      <c r="BT148" s="110"/>
      <c r="BU148" s="110"/>
      <c r="BV148" s="110"/>
      <c r="BW148" s="110"/>
      <c r="BX148" s="110"/>
      <c r="BY148" s="110"/>
      <c r="BZ148" s="110"/>
      <c r="CA148" s="110"/>
      <c r="CB148" s="110"/>
      <c r="CC148" s="110"/>
      <c r="CD148" s="110"/>
      <c r="CE148" s="110"/>
      <c r="CF148" s="110"/>
    </row>
    <row r="149" spans="4:84" s="326" customFormat="1">
      <c r="D149" s="852"/>
      <c r="E149" s="325"/>
      <c r="N149" s="327"/>
      <c r="O149" s="327"/>
      <c r="U149" s="327"/>
      <c r="V149" s="327"/>
      <c r="W149" s="327"/>
      <c r="X149" s="327"/>
      <c r="Y149" s="327"/>
      <c r="Z149" s="327"/>
      <c r="BB149" s="327"/>
      <c r="BH149" s="327"/>
      <c r="BK149" s="110"/>
      <c r="BL149" s="110"/>
      <c r="BM149" s="110"/>
      <c r="BN149" s="110"/>
      <c r="BO149" s="110"/>
      <c r="BP149" s="110"/>
      <c r="BQ149" s="110"/>
      <c r="BR149" s="110"/>
      <c r="BS149" s="110"/>
      <c r="BT149" s="110"/>
      <c r="BU149" s="110"/>
      <c r="BV149" s="110"/>
      <c r="BW149" s="110"/>
      <c r="BX149" s="110"/>
      <c r="BY149" s="110"/>
      <c r="BZ149" s="110"/>
      <c r="CA149" s="110"/>
      <c r="CB149" s="110"/>
      <c r="CC149" s="110"/>
      <c r="CD149" s="110"/>
      <c r="CE149" s="110"/>
      <c r="CF149" s="110"/>
    </row>
    <row r="150" spans="4:84" s="326" customFormat="1">
      <c r="D150" s="852"/>
      <c r="E150" s="325"/>
      <c r="N150" s="327"/>
      <c r="O150" s="327"/>
      <c r="U150" s="327"/>
      <c r="V150" s="327"/>
      <c r="W150" s="327"/>
      <c r="X150" s="327"/>
      <c r="Y150" s="327"/>
      <c r="Z150" s="327"/>
      <c r="BB150" s="327"/>
      <c r="BH150" s="327"/>
      <c r="BK150" s="110"/>
      <c r="BL150" s="110"/>
      <c r="BM150" s="110"/>
      <c r="BN150" s="110"/>
      <c r="BO150" s="110"/>
      <c r="BP150" s="110"/>
      <c r="BQ150" s="110"/>
      <c r="BR150" s="110"/>
      <c r="BS150" s="110"/>
      <c r="BT150" s="110"/>
      <c r="BU150" s="110"/>
      <c r="BV150" s="110"/>
      <c r="BW150" s="110"/>
      <c r="BX150" s="110"/>
      <c r="BY150" s="110"/>
      <c r="BZ150" s="110"/>
      <c r="CA150" s="110"/>
      <c r="CB150" s="110"/>
      <c r="CC150" s="110"/>
      <c r="CD150" s="110"/>
      <c r="CE150" s="110"/>
      <c r="CF150" s="110"/>
    </row>
    <row r="151" spans="4:84" s="326" customFormat="1">
      <c r="D151" s="852"/>
      <c r="E151" s="325"/>
      <c r="N151" s="327"/>
      <c r="O151" s="327"/>
      <c r="U151" s="327"/>
      <c r="V151" s="327"/>
      <c r="W151" s="327"/>
      <c r="X151" s="327"/>
      <c r="Y151" s="327"/>
      <c r="Z151" s="327"/>
      <c r="BB151" s="327"/>
      <c r="BH151" s="327"/>
      <c r="BK151" s="110"/>
      <c r="BL151" s="110"/>
      <c r="BM151" s="110"/>
      <c r="BN151" s="110"/>
      <c r="BO151" s="110"/>
      <c r="BP151" s="110"/>
      <c r="BQ151" s="110"/>
      <c r="BR151" s="110"/>
      <c r="BS151" s="110"/>
      <c r="BT151" s="110"/>
      <c r="BU151" s="110"/>
      <c r="BV151" s="110"/>
      <c r="BW151" s="110"/>
      <c r="BX151" s="110"/>
      <c r="BY151" s="110"/>
      <c r="BZ151" s="110"/>
      <c r="CA151" s="110"/>
      <c r="CB151" s="110"/>
      <c r="CC151" s="110"/>
      <c r="CD151" s="110"/>
      <c r="CE151" s="110"/>
      <c r="CF151" s="110"/>
    </row>
    <row r="152" spans="4:84" s="326" customFormat="1">
      <c r="D152" s="852"/>
      <c r="E152" s="325"/>
      <c r="N152" s="327"/>
      <c r="O152" s="327"/>
      <c r="U152" s="327"/>
      <c r="V152" s="327"/>
      <c r="W152" s="327"/>
      <c r="X152" s="327"/>
      <c r="Y152" s="327"/>
      <c r="Z152" s="327"/>
      <c r="BB152" s="327"/>
      <c r="BH152" s="327"/>
      <c r="BK152" s="110"/>
      <c r="BL152" s="110"/>
      <c r="BM152" s="110"/>
      <c r="BN152" s="110"/>
      <c r="BO152" s="110"/>
      <c r="BP152" s="110"/>
      <c r="BQ152" s="110"/>
      <c r="BR152" s="110"/>
      <c r="BS152" s="110"/>
      <c r="BT152" s="110"/>
      <c r="BU152" s="110"/>
      <c r="BV152" s="110"/>
      <c r="BW152" s="110"/>
      <c r="BX152" s="110"/>
      <c r="BY152" s="110"/>
      <c r="BZ152" s="110"/>
      <c r="CA152" s="110"/>
      <c r="CB152" s="110"/>
      <c r="CC152" s="110"/>
      <c r="CD152" s="110"/>
      <c r="CE152" s="110"/>
      <c r="CF152" s="110"/>
    </row>
    <row r="153" spans="4:84" s="326" customFormat="1">
      <c r="D153" s="852"/>
      <c r="E153" s="325"/>
      <c r="N153" s="327"/>
      <c r="O153" s="327"/>
      <c r="U153" s="327"/>
      <c r="V153" s="327"/>
      <c r="W153" s="327"/>
      <c r="X153" s="327"/>
      <c r="Y153" s="327"/>
      <c r="Z153" s="327"/>
      <c r="BB153" s="327"/>
      <c r="BH153" s="327"/>
      <c r="BK153" s="110"/>
      <c r="BL153" s="110"/>
      <c r="BM153" s="110"/>
      <c r="BN153" s="110"/>
      <c r="BO153" s="110"/>
      <c r="BP153" s="110"/>
      <c r="BQ153" s="110"/>
      <c r="BR153" s="110"/>
      <c r="BS153" s="110"/>
      <c r="BT153" s="110"/>
      <c r="BU153" s="110"/>
      <c r="BV153" s="110"/>
      <c r="BW153" s="110"/>
      <c r="BX153" s="110"/>
      <c r="BY153" s="110"/>
      <c r="BZ153" s="110"/>
      <c r="CA153" s="110"/>
      <c r="CB153" s="110"/>
      <c r="CC153" s="110"/>
      <c r="CD153" s="110"/>
      <c r="CE153" s="110"/>
      <c r="CF153" s="110"/>
    </row>
    <row r="154" spans="4:84" s="326" customFormat="1">
      <c r="D154" s="852"/>
      <c r="E154" s="325"/>
      <c r="N154" s="327"/>
      <c r="O154" s="327"/>
      <c r="U154" s="327"/>
      <c r="V154" s="327"/>
      <c r="W154" s="327"/>
      <c r="X154" s="327"/>
      <c r="Y154" s="327"/>
      <c r="Z154" s="327"/>
      <c r="BB154" s="327"/>
      <c r="BH154" s="327"/>
      <c r="BK154" s="110"/>
      <c r="BL154" s="110"/>
      <c r="BM154" s="110"/>
      <c r="BN154" s="110"/>
      <c r="BO154" s="110"/>
      <c r="BP154" s="110"/>
      <c r="BQ154" s="110"/>
      <c r="BR154" s="110"/>
      <c r="BS154" s="110"/>
      <c r="BT154" s="110"/>
      <c r="BU154" s="110"/>
      <c r="BV154" s="110"/>
      <c r="BW154" s="110"/>
      <c r="BX154" s="110"/>
      <c r="BY154" s="110"/>
      <c r="BZ154" s="110"/>
      <c r="CA154" s="110"/>
      <c r="CB154" s="110"/>
      <c r="CC154" s="110"/>
      <c r="CD154" s="110"/>
      <c r="CE154" s="110"/>
      <c r="CF154" s="110"/>
    </row>
    <row r="155" spans="4:84" s="326" customFormat="1">
      <c r="D155" s="852"/>
      <c r="E155" s="325"/>
      <c r="N155" s="327"/>
      <c r="O155" s="327"/>
      <c r="U155" s="327"/>
      <c r="V155" s="327"/>
      <c r="W155" s="327"/>
      <c r="X155" s="327"/>
      <c r="Y155" s="327"/>
      <c r="Z155" s="327"/>
      <c r="BB155" s="327"/>
      <c r="BH155" s="327"/>
      <c r="BK155" s="110"/>
      <c r="BL155" s="110"/>
      <c r="BM155" s="110"/>
      <c r="BN155" s="110"/>
      <c r="BO155" s="110"/>
      <c r="BP155" s="110"/>
      <c r="BQ155" s="110"/>
      <c r="BR155" s="110"/>
      <c r="BS155" s="110"/>
      <c r="BT155" s="110"/>
      <c r="BU155" s="110"/>
      <c r="BV155" s="110"/>
      <c r="BW155" s="110"/>
      <c r="BX155" s="110"/>
      <c r="BY155" s="110"/>
      <c r="BZ155" s="110"/>
      <c r="CA155" s="110"/>
      <c r="CB155" s="110"/>
      <c r="CC155" s="110"/>
      <c r="CD155" s="110"/>
      <c r="CE155" s="110"/>
      <c r="CF155" s="110"/>
    </row>
    <row r="156" spans="4:84" s="326" customFormat="1">
      <c r="D156" s="852"/>
      <c r="E156" s="325"/>
      <c r="N156" s="327"/>
      <c r="O156" s="327"/>
      <c r="U156" s="327"/>
      <c r="V156" s="327"/>
      <c r="W156" s="327"/>
      <c r="X156" s="327"/>
      <c r="Y156" s="327"/>
      <c r="Z156" s="327"/>
      <c r="BB156" s="327"/>
      <c r="BH156" s="327"/>
      <c r="BK156" s="110"/>
      <c r="BL156" s="110"/>
      <c r="BM156" s="110"/>
      <c r="BN156" s="110"/>
      <c r="BO156" s="110"/>
      <c r="BP156" s="110"/>
      <c r="BQ156" s="110"/>
      <c r="BR156" s="110"/>
      <c r="BS156" s="110"/>
      <c r="BT156" s="110"/>
      <c r="BU156" s="110"/>
      <c r="BV156" s="110"/>
      <c r="BW156" s="110"/>
      <c r="BX156" s="110"/>
      <c r="BY156" s="110"/>
      <c r="BZ156" s="110"/>
      <c r="CA156" s="110"/>
      <c r="CB156" s="110"/>
      <c r="CC156" s="110"/>
      <c r="CD156" s="110"/>
      <c r="CE156" s="110"/>
      <c r="CF156" s="110"/>
    </row>
    <row r="157" spans="4:84" s="326" customFormat="1">
      <c r="D157" s="852"/>
      <c r="E157" s="325"/>
      <c r="N157" s="327"/>
      <c r="O157" s="327"/>
      <c r="U157" s="327"/>
      <c r="V157" s="327"/>
      <c r="W157" s="327"/>
      <c r="X157" s="327"/>
      <c r="Y157" s="327"/>
      <c r="Z157" s="327"/>
      <c r="BB157" s="327"/>
      <c r="BH157" s="327"/>
      <c r="BK157" s="110"/>
      <c r="BL157" s="110"/>
      <c r="BM157" s="110"/>
      <c r="BN157" s="110"/>
      <c r="BO157" s="110"/>
      <c r="BP157" s="110"/>
      <c r="BQ157" s="110"/>
      <c r="BR157" s="110"/>
      <c r="BS157" s="110"/>
      <c r="BT157" s="110"/>
      <c r="BU157" s="110"/>
      <c r="BV157" s="110"/>
      <c r="BW157" s="110"/>
      <c r="BX157" s="110"/>
      <c r="BY157" s="110"/>
      <c r="BZ157" s="110"/>
      <c r="CA157" s="110"/>
      <c r="CB157" s="110"/>
      <c r="CC157" s="110"/>
      <c r="CD157" s="110"/>
      <c r="CE157" s="110"/>
      <c r="CF157" s="110"/>
    </row>
    <row r="158" spans="4:84" s="326" customFormat="1">
      <c r="D158" s="852"/>
      <c r="E158" s="325"/>
      <c r="N158" s="327"/>
      <c r="O158" s="327"/>
      <c r="U158" s="327"/>
      <c r="V158" s="327"/>
      <c r="W158" s="327"/>
      <c r="X158" s="327"/>
      <c r="Y158" s="327"/>
      <c r="Z158" s="327"/>
      <c r="BB158" s="327"/>
      <c r="BH158" s="327"/>
      <c r="BK158" s="110"/>
      <c r="BL158" s="110"/>
      <c r="BM158" s="110"/>
      <c r="BN158" s="110"/>
      <c r="BO158" s="110"/>
      <c r="BP158" s="110"/>
      <c r="BQ158" s="110"/>
      <c r="BR158" s="110"/>
      <c r="BS158" s="110"/>
      <c r="BT158" s="110"/>
      <c r="BU158" s="110"/>
      <c r="BV158" s="110"/>
      <c r="BW158" s="110"/>
      <c r="BX158" s="110"/>
      <c r="BY158" s="110"/>
      <c r="BZ158" s="110"/>
      <c r="CA158" s="110"/>
      <c r="CB158" s="110"/>
      <c r="CC158" s="110"/>
      <c r="CD158" s="110"/>
      <c r="CE158" s="110"/>
      <c r="CF158" s="110"/>
    </row>
    <row r="159" spans="4:84" s="326" customFormat="1">
      <c r="D159" s="852"/>
      <c r="E159" s="325"/>
      <c r="N159" s="327"/>
      <c r="O159" s="327"/>
      <c r="U159" s="327"/>
      <c r="V159" s="327"/>
      <c r="W159" s="327"/>
      <c r="X159" s="327"/>
      <c r="Y159" s="327"/>
      <c r="Z159" s="327"/>
      <c r="BB159" s="327"/>
      <c r="BH159" s="327"/>
      <c r="BK159" s="110"/>
      <c r="BL159" s="110"/>
      <c r="BM159" s="110"/>
      <c r="BN159" s="110"/>
      <c r="BO159" s="110"/>
      <c r="BP159" s="110"/>
      <c r="BQ159" s="110"/>
      <c r="BR159" s="110"/>
      <c r="BS159" s="110"/>
      <c r="BT159" s="110"/>
      <c r="BU159" s="110"/>
      <c r="BV159" s="110"/>
      <c r="BW159" s="110"/>
      <c r="BX159" s="110"/>
      <c r="BY159" s="110"/>
      <c r="BZ159" s="110"/>
      <c r="CA159" s="110"/>
      <c r="CB159" s="110"/>
      <c r="CC159" s="110"/>
      <c r="CD159" s="110"/>
      <c r="CE159" s="110"/>
      <c r="CF159" s="110"/>
    </row>
    <row r="160" spans="4:84" s="326" customFormat="1">
      <c r="D160" s="852"/>
      <c r="E160" s="325"/>
      <c r="N160" s="327"/>
      <c r="O160" s="327"/>
      <c r="U160" s="327"/>
      <c r="V160" s="327"/>
      <c r="W160" s="327"/>
      <c r="X160" s="327"/>
      <c r="Y160" s="327"/>
      <c r="Z160" s="327"/>
      <c r="BB160" s="327"/>
      <c r="BH160" s="327"/>
      <c r="BK160" s="110"/>
      <c r="BL160" s="110"/>
      <c r="BM160" s="110"/>
      <c r="BN160" s="110"/>
      <c r="BO160" s="110"/>
      <c r="BP160" s="110"/>
      <c r="BQ160" s="110"/>
      <c r="BR160" s="110"/>
      <c r="BS160" s="110"/>
      <c r="BT160" s="110"/>
      <c r="BU160" s="110"/>
      <c r="BV160" s="110"/>
      <c r="BW160" s="110"/>
      <c r="BX160" s="110"/>
      <c r="BY160" s="110"/>
      <c r="BZ160" s="110"/>
      <c r="CA160" s="110"/>
      <c r="CB160" s="110"/>
      <c r="CC160" s="110"/>
      <c r="CD160" s="110"/>
      <c r="CE160" s="110"/>
      <c r="CF160" s="110"/>
    </row>
    <row r="161" spans="4:84" s="326" customFormat="1">
      <c r="D161" s="852"/>
      <c r="E161" s="325"/>
      <c r="N161" s="327"/>
      <c r="O161" s="327"/>
      <c r="U161" s="327"/>
      <c r="V161" s="327"/>
      <c r="W161" s="327"/>
      <c r="X161" s="327"/>
      <c r="Y161" s="327"/>
      <c r="Z161" s="327"/>
      <c r="BB161" s="327"/>
      <c r="BH161" s="327"/>
      <c r="BK161" s="110"/>
      <c r="BL161" s="110"/>
      <c r="BM161" s="110"/>
      <c r="BN161" s="110"/>
      <c r="BO161" s="110"/>
      <c r="BP161" s="110"/>
      <c r="BQ161" s="110"/>
      <c r="BR161" s="110"/>
      <c r="BS161" s="110"/>
      <c r="BT161" s="110"/>
      <c r="BU161" s="110"/>
      <c r="BV161" s="110"/>
      <c r="BW161" s="110"/>
      <c r="BX161" s="110"/>
      <c r="BY161" s="110"/>
      <c r="BZ161" s="110"/>
      <c r="CA161" s="110"/>
      <c r="CB161" s="110"/>
      <c r="CC161" s="110"/>
      <c r="CD161" s="110"/>
      <c r="CE161" s="110"/>
      <c r="CF161" s="110"/>
    </row>
    <row r="162" spans="4:84" s="326" customFormat="1">
      <c r="D162" s="852"/>
      <c r="E162" s="325"/>
      <c r="N162" s="327"/>
      <c r="O162" s="327"/>
      <c r="U162" s="327"/>
      <c r="V162" s="327"/>
      <c r="W162" s="327"/>
      <c r="X162" s="327"/>
      <c r="Y162" s="327"/>
      <c r="Z162" s="327"/>
      <c r="BB162" s="327"/>
      <c r="BH162" s="327"/>
      <c r="BK162" s="110"/>
      <c r="BL162" s="110"/>
      <c r="BM162" s="110"/>
      <c r="BN162" s="110"/>
      <c r="BO162" s="110"/>
      <c r="BP162" s="110"/>
      <c r="BQ162" s="110"/>
      <c r="BR162" s="110"/>
      <c r="BS162" s="110"/>
      <c r="BT162" s="110"/>
      <c r="BU162" s="110"/>
      <c r="BV162" s="110"/>
      <c r="BW162" s="110"/>
      <c r="BX162" s="110"/>
      <c r="BY162" s="110"/>
      <c r="BZ162" s="110"/>
      <c r="CA162" s="110"/>
      <c r="CB162" s="110"/>
      <c r="CC162" s="110"/>
      <c r="CD162" s="110"/>
      <c r="CE162" s="110"/>
      <c r="CF162" s="110"/>
    </row>
    <row r="163" spans="4:84" s="326" customFormat="1">
      <c r="D163" s="852"/>
      <c r="E163" s="325"/>
      <c r="N163" s="327"/>
      <c r="O163" s="327"/>
      <c r="U163" s="327"/>
      <c r="V163" s="327"/>
      <c r="W163" s="327"/>
      <c r="X163" s="327"/>
      <c r="Y163" s="327"/>
      <c r="Z163" s="327"/>
      <c r="BB163" s="327"/>
      <c r="BH163" s="327"/>
      <c r="BK163" s="110"/>
      <c r="BL163" s="110"/>
      <c r="BM163" s="110"/>
      <c r="BN163" s="110"/>
      <c r="BO163" s="110"/>
      <c r="BP163" s="110"/>
      <c r="BQ163" s="110"/>
      <c r="BR163" s="110"/>
      <c r="BS163" s="110"/>
      <c r="BT163" s="110"/>
      <c r="BU163" s="110"/>
      <c r="BV163" s="110"/>
      <c r="BW163" s="110"/>
      <c r="BX163" s="110"/>
      <c r="BY163" s="110"/>
      <c r="BZ163" s="110"/>
      <c r="CA163" s="110"/>
      <c r="CB163" s="110"/>
      <c r="CC163" s="110"/>
      <c r="CD163" s="110"/>
      <c r="CE163" s="110"/>
      <c r="CF163" s="110"/>
    </row>
    <row r="164" spans="4:84" s="326" customFormat="1">
      <c r="D164" s="852"/>
      <c r="E164" s="325"/>
      <c r="N164" s="327"/>
      <c r="O164" s="327"/>
      <c r="U164" s="327"/>
      <c r="V164" s="327"/>
      <c r="W164" s="327"/>
      <c r="X164" s="327"/>
      <c r="Y164" s="327"/>
      <c r="Z164" s="327"/>
      <c r="BB164" s="327"/>
      <c r="BH164" s="327"/>
      <c r="BK164" s="110"/>
      <c r="BL164" s="110"/>
      <c r="BM164" s="110"/>
      <c r="BN164" s="110"/>
      <c r="BO164" s="110"/>
      <c r="BP164" s="110"/>
      <c r="BQ164" s="110"/>
      <c r="BR164" s="110"/>
      <c r="BS164" s="110"/>
      <c r="BT164" s="110"/>
      <c r="BU164" s="110"/>
      <c r="BV164" s="110"/>
      <c r="BW164" s="110"/>
      <c r="BX164" s="110"/>
      <c r="BY164" s="110"/>
      <c r="BZ164" s="110"/>
      <c r="CA164" s="110"/>
      <c r="CB164" s="110"/>
      <c r="CC164" s="110"/>
      <c r="CD164" s="110"/>
      <c r="CE164" s="110"/>
      <c r="CF164" s="110"/>
    </row>
    <row r="165" spans="4:84" s="326" customFormat="1">
      <c r="D165" s="852"/>
      <c r="E165" s="325"/>
      <c r="N165" s="327"/>
      <c r="O165" s="327"/>
      <c r="U165" s="327"/>
      <c r="V165" s="327"/>
      <c r="W165" s="327"/>
      <c r="X165" s="327"/>
      <c r="Y165" s="327"/>
      <c r="Z165" s="327"/>
      <c r="BB165" s="327"/>
      <c r="BH165" s="327"/>
      <c r="BK165" s="110"/>
      <c r="BL165" s="110"/>
      <c r="BM165" s="110"/>
      <c r="BN165" s="110"/>
      <c r="BO165" s="110"/>
      <c r="BP165" s="110"/>
      <c r="BQ165" s="110"/>
      <c r="BR165" s="110"/>
      <c r="BS165" s="110"/>
      <c r="BT165" s="110"/>
      <c r="BU165" s="110"/>
      <c r="BV165" s="110"/>
      <c r="BW165" s="110"/>
      <c r="BX165" s="110"/>
      <c r="BY165" s="110"/>
      <c r="BZ165" s="110"/>
      <c r="CA165" s="110"/>
      <c r="CB165" s="110"/>
      <c r="CC165" s="110"/>
      <c r="CD165" s="110"/>
      <c r="CE165" s="110"/>
      <c r="CF165" s="110"/>
    </row>
    <row r="166" spans="4:84" s="326" customFormat="1">
      <c r="D166" s="852"/>
      <c r="E166" s="325"/>
      <c r="N166" s="327"/>
      <c r="O166" s="327"/>
      <c r="U166" s="327"/>
      <c r="V166" s="327"/>
      <c r="W166" s="327"/>
      <c r="X166" s="327"/>
      <c r="Y166" s="327"/>
      <c r="Z166" s="327"/>
      <c r="BB166" s="327"/>
      <c r="BH166" s="327"/>
      <c r="BK166" s="110"/>
      <c r="BL166" s="110"/>
      <c r="BM166" s="110"/>
      <c r="BN166" s="110"/>
      <c r="BO166" s="110"/>
      <c r="BP166" s="110"/>
      <c r="BQ166" s="110"/>
      <c r="BR166" s="110"/>
      <c r="BS166" s="110"/>
      <c r="BT166" s="110"/>
      <c r="BU166" s="110"/>
      <c r="BV166" s="110"/>
      <c r="BW166" s="110"/>
      <c r="BX166" s="110"/>
      <c r="BY166" s="110"/>
      <c r="BZ166" s="110"/>
      <c r="CA166" s="110"/>
      <c r="CB166" s="110"/>
      <c r="CC166" s="110"/>
      <c r="CD166" s="110"/>
      <c r="CE166" s="110"/>
      <c r="CF166" s="110"/>
    </row>
    <row r="167" spans="4:84" s="326" customFormat="1">
      <c r="D167" s="852"/>
      <c r="E167" s="325"/>
      <c r="N167" s="327"/>
      <c r="O167" s="327"/>
      <c r="U167" s="327"/>
      <c r="V167" s="327"/>
      <c r="W167" s="327"/>
      <c r="X167" s="327"/>
      <c r="Y167" s="327"/>
      <c r="Z167" s="327"/>
      <c r="BB167" s="327"/>
      <c r="BH167" s="327"/>
      <c r="BK167" s="110"/>
      <c r="BL167" s="110"/>
      <c r="BM167" s="110"/>
      <c r="BN167" s="110"/>
      <c r="BO167" s="110"/>
      <c r="BP167" s="110"/>
      <c r="BQ167" s="110"/>
      <c r="BR167" s="110"/>
      <c r="BS167" s="110"/>
      <c r="BT167" s="110"/>
      <c r="BU167" s="110"/>
      <c r="BV167" s="110"/>
      <c r="BW167" s="110"/>
      <c r="BX167" s="110"/>
      <c r="BY167" s="110"/>
      <c r="BZ167" s="110"/>
      <c r="CA167" s="110"/>
      <c r="CB167" s="110"/>
      <c r="CC167" s="110"/>
      <c r="CD167" s="110"/>
      <c r="CE167" s="110"/>
      <c r="CF167" s="110"/>
    </row>
    <row r="168" spans="4:84" s="326" customFormat="1">
      <c r="D168" s="852"/>
      <c r="E168" s="325"/>
      <c r="N168" s="327"/>
      <c r="O168" s="327"/>
      <c r="U168" s="327"/>
      <c r="V168" s="327"/>
      <c r="W168" s="327"/>
      <c r="X168" s="327"/>
      <c r="Y168" s="327"/>
      <c r="Z168" s="327"/>
      <c r="BB168" s="327"/>
      <c r="BH168" s="327"/>
      <c r="BK168" s="110"/>
      <c r="BL168" s="110"/>
      <c r="BM168" s="110"/>
      <c r="BN168" s="110"/>
      <c r="BO168" s="110"/>
      <c r="BP168" s="110"/>
      <c r="BQ168" s="110"/>
      <c r="BR168" s="110"/>
      <c r="BS168" s="110"/>
      <c r="BT168" s="110"/>
      <c r="BU168" s="110"/>
      <c r="BV168" s="110"/>
      <c r="BW168" s="110"/>
      <c r="BX168" s="110"/>
      <c r="BY168" s="110"/>
      <c r="BZ168" s="110"/>
      <c r="CA168" s="110"/>
      <c r="CB168" s="110"/>
      <c r="CC168" s="110"/>
      <c r="CD168" s="110"/>
      <c r="CE168" s="110"/>
      <c r="CF168" s="110"/>
    </row>
    <row r="169" spans="4:84" s="326" customFormat="1">
      <c r="D169" s="852"/>
      <c r="E169" s="325"/>
      <c r="N169" s="327"/>
      <c r="O169" s="327"/>
      <c r="U169" s="327"/>
      <c r="V169" s="327"/>
      <c r="W169" s="327"/>
      <c r="X169" s="327"/>
      <c r="Y169" s="327"/>
      <c r="Z169" s="327"/>
      <c r="BB169" s="327"/>
      <c r="BH169" s="327"/>
      <c r="BK169" s="110"/>
      <c r="BL169" s="110"/>
      <c r="BM169" s="110"/>
      <c r="BN169" s="110"/>
      <c r="BO169" s="110"/>
      <c r="BP169" s="110"/>
      <c r="BQ169" s="110"/>
      <c r="BR169" s="110"/>
      <c r="BS169" s="110"/>
      <c r="BT169" s="110"/>
      <c r="BU169" s="110"/>
      <c r="BV169" s="110"/>
      <c r="BW169" s="110"/>
      <c r="BX169" s="110"/>
      <c r="BY169" s="110"/>
      <c r="BZ169" s="110"/>
      <c r="CA169" s="110"/>
      <c r="CB169" s="110"/>
      <c r="CC169" s="110"/>
      <c r="CD169" s="110"/>
      <c r="CE169" s="110"/>
      <c r="CF169" s="110"/>
    </row>
    <row r="170" spans="4:84" s="326" customFormat="1">
      <c r="D170" s="852"/>
      <c r="E170" s="325"/>
      <c r="N170" s="327"/>
      <c r="O170" s="327"/>
      <c r="U170" s="327"/>
      <c r="V170" s="327"/>
      <c r="W170" s="327"/>
      <c r="X170" s="327"/>
      <c r="Y170" s="327"/>
      <c r="Z170" s="327"/>
      <c r="BB170" s="327"/>
      <c r="BH170" s="327"/>
      <c r="BK170" s="110"/>
      <c r="BL170" s="110"/>
      <c r="BM170" s="110"/>
      <c r="BN170" s="110"/>
      <c r="BO170" s="110"/>
      <c r="BP170" s="110"/>
      <c r="BQ170" s="110"/>
      <c r="BR170" s="110"/>
      <c r="BS170" s="110"/>
      <c r="BT170" s="110"/>
      <c r="BU170" s="110"/>
      <c r="BV170" s="110"/>
      <c r="BW170" s="110"/>
      <c r="BX170" s="110"/>
      <c r="BY170" s="110"/>
      <c r="BZ170" s="110"/>
      <c r="CA170" s="110"/>
      <c r="CB170" s="110"/>
      <c r="CC170" s="110"/>
      <c r="CD170" s="110"/>
      <c r="CE170" s="110"/>
      <c r="CF170" s="110"/>
    </row>
    <row r="171" spans="4:84" s="326" customFormat="1">
      <c r="D171" s="852"/>
      <c r="E171" s="325"/>
      <c r="N171" s="327"/>
      <c r="O171" s="327"/>
      <c r="U171" s="327"/>
      <c r="V171" s="327"/>
      <c r="W171" s="327"/>
      <c r="X171" s="327"/>
      <c r="Y171" s="327"/>
      <c r="Z171" s="327"/>
      <c r="BB171" s="327"/>
      <c r="BH171" s="327"/>
      <c r="BK171" s="110"/>
      <c r="BL171" s="110"/>
      <c r="BM171" s="110"/>
      <c r="BN171" s="110"/>
      <c r="BO171" s="110"/>
      <c r="BP171" s="110"/>
      <c r="BQ171" s="110"/>
      <c r="BR171" s="110"/>
      <c r="BS171" s="110"/>
      <c r="BT171" s="110"/>
      <c r="BU171" s="110"/>
      <c r="BV171" s="110"/>
      <c r="BW171" s="110"/>
      <c r="BX171" s="110"/>
      <c r="BY171" s="110"/>
      <c r="BZ171" s="110"/>
      <c r="CA171" s="110"/>
      <c r="CB171" s="110"/>
      <c r="CC171" s="110"/>
      <c r="CD171" s="110"/>
      <c r="CE171" s="110"/>
      <c r="CF171" s="110"/>
    </row>
    <row r="172" spans="4:84" s="326" customFormat="1">
      <c r="D172" s="852"/>
      <c r="E172" s="325"/>
      <c r="N172" s="327"/>
      <c r="O172" s="327"/>
      <c r="U172" s="327"/>
      <c r="V172" s="327"/>
      <c r="W172" s="327"/>
      <c r="X172" s="327"/>
      <c r="Y172" s="327"/>
      <c r="Z172" s="327"/>
      <c r="BB172" s="327"/>
      <c r="BH172" s="327"/>
      <c r="BK172" s="110"/>
      <c r="BL172" s="110"/>
      <c r="BM172" s="110"/>
      <c r="BN172" s="110"/>
      <c r="BO172" s="110"/>
      <c r="BP172" s="110"/>
      <c r="BQ172" s="110"/>
      <c r="BR172" s="110"/>
      <c r="BS172" s="110"/>
      <c r="BT172" s="110"/>
      <c r="BU172" s="110"/>
      <c r="BV172" s="110"/>
      <c r="BW172" s="110"/>
      <c r="BX172" s="110"/>
      <c r="BY172" s="110"/>
      <c r="BZ172" s="110"/>
      <c r="CA172" s="110"/>
      <c r="CB172" s="110"/>
      <c r="CC172" s="110"/>
      <c r="CD172" s="110"/>
      <c r="CE172" s="110"/>
      <c r="CF172" s="110"/>
    </row>
    <row r="173" spans="4:84" s="326" customFormat="1">
      <c r="D173" s="852"/>
      <c r="E173" s="325"/>
      <c r="N173" s="327"/>
      <c r="O173" s="327"/>
      <c r="U173" s="327"/>
      <c r="V173" s="327"/>
      <c r="W173" s="327"/>
      <c r="X173" s="327"/>
      <c r="Y173" s="327"/>
      <c r="Z173" s="327"/>
      <c r="BB173" s="327"/>
      <c r="BH173" s="327"/>
      <c r="BK173" s="110"/>
      <c r="BL173" s="110"/>
      <c r="BM173" s="110"/>
      <c r="BN173" s="110"/>
      <c r="BO173" s="110"/>
      <c r="BP173" s="110"/>
      <c r="BQ173" s="110"/>
      <c r="BR173" s="110"/>
      <c r="BS173" s="110"/>
      <c r="BT173" s="110"/>
      <c r="BU173" s="110"/>
      <c r="BV173" s="110"/>
      <c r="BW173" s="110"/>
      <c r="BX173" s="110"/>
      <c r="BY173" s="110"/>
      <c r="BZ173" s="110"/>
      <c r="CA173" s="110"/>
      <c r="CB173" s="110"/>
      <c r="CC173" s="110"/>
      <c r="CD173" s="110"/>
      <c r="CE173" s="110"/>
      <c r="CF173" s="110"/>
    </row>
    <row r="174" spans="4:84" s="326" customFormat="1">
      <c r="D174" s="852"/>
      <c r="E174" s="325"/>
      <c r="N174" s="327"/>
      <c r="O174" s="327"/>
      <c r="U174" s="327"/>
      <c r="V174" s="327"/>
      <c r="W174" s="327"/>
      <c r="X174" s="327"/>
      <c r="Y174" s="327"/>
      <c r="Z174" s="327"/>
      <c r="BB174" s="327"/>
      <c r="BH174" s="327"/>
      <c r="BK174" s="110"/>
      <c r="BL174" s="110"/>
      <c r="BM174" s="110"/>
      <c r="BN174" s="110"/>
      <c r="BO174" s="110"/>
      <c r="BP174" s="110"/>
      <c r="BQ174" s="110"/>
      <c r="BR174" s="110"/>
      <c r="BS174" s="110"/>
      <c r="BT174" s="110"/>
      <c r="BU174" s="110"/>
      <c r="BV174" s="110"/>
      <c r="BW174" s="110"/>
      <c r="BX174" s="110"/>
      <c r="BY174" s="110"/>
      <c r="BZ174" s="110"/>
      <c r="CA174" s="110"/>
      <c r="CB174" s="110"/>
      <c r="CC174" s="110"/>
      <c r="CD174" s="110"/>
      <c r="CE174" s="110"/>
      <c r="CF174" s="110"/>
    </row>
    <row r="175" spans="4:84" s="326" customFormat="1">
      <c r="D175" s="852"/>
      <c r="E175" s="325"/>
      <c r="N175" s="327"/>
      <c r="O175" s="327"/>
      <c r="U175" s="327"/>
      <c r="V175" s="327"/>
      <c r="W175" s="327"/>
      <c r="X175" s="327"/>
      <c r="Y175" s="327"/>
      <c r="Z175" s="327"/>
      <c r="BB175" s="327"/>
      <c r="BH175" s="327"/>
      <c r="BK175" s="110"/>
      <c r="BL175" s="110"/>
      <c r="BM175" s="110"/>
      <c r="BN175" s="110"/>
      <c r="BO175" s="110"/>
      <c r="BP175" s="110"/>
      <c r="BQ175" s="110"/>
      <c r="BR175" s="110"/>
      <c r="BS175" s="110"/>
      <c r="BT175" s="110"/>
      <c r="BU175" s="110"/>
      <c r="BV175" s="110"/>
      <c r="BW175" s="110"/>
      <c r="BX175" s="110"/>
      <c r="BY175" s="110"/>
      <c r="BZ175" s="110"/>
      <c r="CA175" s="110"/>
      <c r="CB175" s="110"/>
      <c r="CC175" s="110"/>
      <c r="CD175" s="110"/>
      <c r="CE175" s="110"/>
      <c r="CF175" s="110"/>
    </row>
    <row r="176" spans="4:84" s="326" customFormat="1">
      <c r="D176" s="852"/>
      <c r="E176" s="325"/>
      <c r="N176" s="327"/>
      <c r="O176" s="327"/>
      <c r="U176" s="327"/>
      <c r="V176" s="327"/>
      <c r="W176" s="327"/>
      <c r="X176" s="327"/>
      <c r="Y176" s="327"/>
      <c r="Z176" s="327"/>
      <c r="BB176" s="327"/>
      <c r="BH176" s="327"/>
      <c r="BK176" s="110"/>
      <c r="BL176" s="110"/>
      <c r="BM176" s="110"/>
      <c r="BN176" s="110"/>
      <c r="BO176" s="110"/>
      <c r="BP176" s="110"/>
      <c r="BQ176" s="110"/>
      <c r="BR176" s="110"/>
      <c r="BS176" s="110"/>
      <c r="BT176" s="110"/>
      <c r="BU176" s="110"/>
      <c r="BV176" s="110"/>
      <c r="BW176" s="110"/>
      <c r="BX176" s="110"/>
      <c r="BY176" s="110"/>
      <c r="BZ176" s="110"/>
      <c r="CA176" s="110"/>
      <c r="CB176" s="110"/>
      <c r="CC176" s="110"/>
      <c r="CD176" s="110"/>
      <c r="CE176" s="110"/>
      <c r="CF176" s="110"/>
    </row>
    <row r="177" spans="4:84" s="326" customFormat="1">
      <c r="D177" s="852"/>
      <c r="E177" s="325"/>
      <c r="N177" s="327"/>
      <c r="O177" s="327"/>
      <c r="U177" s="327"/>
      <c r="V177" s="327"/>
      <c r="W177" s="327"/>
      <c r="X177" s="327"/>
      <c r="Y177" s="327"/>
      <c r="Z177" s="327"/>
      <c r="BB177" s="327"/>
      <c r="BH177" s="327"/>
      <c r="BK177" s="110"/>
      <c r="BL177" s="110"/>
      <c r="BM177" s="110"/>
      <c r="BN177" s="110"/>
      <c r="BO177" s="110"/>
      <c r="BP177" s="110"/>
      <c r="BQ177" s="110"/>
      <c r="BR177" s="110"/>
      <c r="BS177" s="110"/>
      <c r="BT177" s="110"/>
      <c r="BU177" s="110"/>
      <c r="BV177" s="110"/>
      <c r="BW177" s="110"/>
      <c r="BX177" s="110"/>
      <c r="BY177" s="110"/>
      <c r="BZ177" s="110"/>
      <c r="CA177" s="110"/>
      <c r="CB177" s="110"/>
      <c r="CC177" s="110"/>
      <c r="CD177" s="110"/>
      <c r="CE177" s="110"/>
      <c r="CF177" s="110"/>
    </row>
    <row r="178" spans="4:84" s="326" customFormat="1">
      <c r="D178" s="852"/>
      <c r="E178" s="325"/>
      <c r="N178" s="327"/>
      <c r="O178" s="327"/>
      <c r="U178" s="327"/>
      <c r="V178" s="327"/>
      <c r="W178" s="327"/>
      <c r="X178" s="327"/>
      <c r="Y178" s="327"/>
      <c r="Z178" s="327"/>
      <c r="BB178" s="327"/>
      <c r="BH178" s="327"/>
      <c r="BK178" s="110"/>
      <c r="BL178" s="110"/>
      <c r="BM178" s="110"/>
      <c r="BN178" s="110"/>
      <c r="BO178" s="110"/>
      <c r="BP178" s="110"/>
      <c r="BQ178" s="110"/>
      <c r="BR178" s="110"/>
      <c r="BS178" s="110"/>
      <c r="BT178" s="110"/>
      <c r="BU178" s="110"/>
      <c r="BV178" s="110"/>
      <c r="BW178" s="110"/>
      <c r="BX178" s="110"/>
      <c r="BY178" s="110"/>
      <c r="BZ178" s="110"/>
      <c r="CA178" s="110"/>
      <c r="CB178" s="110"/>
      <c r="CC178" s="110"/>
      <c r="CD178" s="110"/>
      <c r="CE178" s="110"/>
      <c r="CF178" s="110"/>
    </row>
    <row r="179" spans="4:84" s="326" customFormat="1">
      <c r="D179" s="852"/>
      <c r="E179" s="325"/>
      <c r="N179" s="327"/>
      <c r="O179" s="327"/>
      <c r="U179" s="327"/>
      <c r="V179" s="327"/>
      <c r="W179" s="327"/>
      <c r="X179" s="327"/>
      <c r="Y179" s="327"/>
      <c r="Z179" s="327"/>
      <c r="BB179" s="327"/>
      <c r="BH179" s="327"/>
      <c r="BK179" s="110"/>
      <c r="BL179" s="110"/>
      <c r="BM179" s="110"/>
      <c r="BN179" s="110"/>
      <c r="BO179" s="110"/>
      <c r="BP179" s="110"/>
      <c r="BQ179" s="110"/>
      <c r="BR179" s="110"/>
      <c r="BS179" s="110"/>
      <c r="BT179" s="110"/>
      <c r="BU179" s="110"/>
      <c r="BV179" s="110"/>
      <c r="BW179" s="110"/>
      <c r="BX179" s="110"/>
      <c r="BY179" s="110"/>
      <c r="BZ179" s="110"/>
      <c r="CA179" s="110"/>
      <c r="CB179" s="110"/>
      <c r="CC179" s="110"/>
      <c r="CD179" s="110"/>
      <c r="CE179" s="110"/>
      <c r="CF179" s="110"/>
    </row>
    <row r="180" spans="4:84" s="326" customFormat="1">
      <c r="D180" s="852"/>
      <c r="E180" s="325"/>
      <c r="N180" s="327"/>
      <c r="O180" s="327"/>
      <c r="U180" s="327"/>
      <c r="V180" s="327"/>
      <c r="W180" s="327"/>
      <c r="X180" s="327"/>
      <c r="Y180" s="327"/>
      <c r="Z180" s="327"/>
      <c r="BB180" s="327"/>
      <c r="BH180" s="327"/>
      <c r="BK180" s="110"/>
      <c r="BL180" s="110"/>
      <c r="BM180" s="110"/>
      <c r="BN180" s="110"/>
      <c r="BO180" s="110"/>
      <c r="BP180" s="110"/>
      <c r="BQ180" s="110"/>
      <c r="BR180" s="110"/>
      <c r="BS180" s="110"/>
      <c r="BT180" s="110"/>
      <c r="BU180" s="110"/>
      <c r="BV180" s="110"/>
      <c r="BW180" s="110"/>
      <c r="BX180" s="110"/>
      <c r="BY180" s="110"/>
      <c r="BZ180" s="110"/>
      <c r="CA180" s="110"/>
      <c r="CB180" s="110"/>
      <c r="CC180" s="110"/>
      <c r="CD180" s="110"/>
      <c r="CE180" s="110"/>
      <c r="CF180" s="110"/>
    </row>
    <row r="181" spans="4:84" s="326" customFormat="1">
      <c r="D181" s="852"/>
      <c r="E181" s="325"/>
      <c r="N181" s="327"/>
      <c r="O181" s="327"/>
      <c r="U181" s="327"/>
      <c r="V181" s="327"/>
      <c r="W181" s="327"/>
      <c r="X181" s="327"/>
      <c r="Y181" s="327"/>
      <c r="Z181" s="327"/>
      <c r="BB181" s="327"/>
      <c r="BH181" s="327"/>
      <c r="BK181" s="110"/>
      <c r="BL181" s="110"/>
      <c r="BM181" s="110"/>
      <c r="BN181" s="110"/>
      <c r="BO181" s="110"/>
      <c r="BP181" s="110"/>
      <c r="BQ181" s="110"/>
      <c r="BR181" s="110"/>
      <c r="BS181" s="110"/>
      <c r="BT181" s="110"/>
      <c r="BU181" s="110"/>
      <c r="BV181" s="110"/>
      <c r="BW181" s="110"/>
      <c r="BX181" s="110"/>
      <c r="BY181" s="110"/>
      <c r="BZ181" s="110"/>
      <c r="CA181" s="110"/>
      <c r="CB181" s="110"/>
      <c r="CC181" s="110"/>
      <c r="CD181" s="110"/>
      <c r="CE181" s="110"/>
      <c r="CF181" s="110"/>
    </row>
    <row r="182" spans="4:84" s="326" customFormat="1">
      <c r="D182" s="852"/>
      <c r="E182" s="325"/>
      <c r="N182" s="327"/>
      <c r="O182" s="327"/>
      <c r="U182" s="327"/>
      <c r="V182" s="327"/>
      <c r="W182" s="327"/>
      <c r="X182" s="327"/>
      <c r="Y182" s="327"/>
      <c r="Z182" s="327"/>
      <c r="BB182" s="327"/>
      <c r="BH182" s="327"/>
      <c r="BK182" s="110"/>
      <c r="BL182" s="110"/>
      <c r="BM182" s="110"/>
      <c r="BN182" s="110"/>
      <c r="BO182" s="110"/>
      <c r="BP182" s="110"/>
      <c r="BQ182" s="110"/>
      <c r="BR182" s="110"/>
      <c r="BS182" s="110"/>
      <c r="BT182" s="110"/>
      <c r="BU182" s="110"/>
      <c r="BV182" s="110"/>
      <c r="BW182" s="110"/>
      <c r="BX182" s="110"/>
      <c r="BY182" s="110"/>
      <c r="BZ182" s="110"/>
      <c r="CA182" s="110"/>
      <c r="CB182" s="110"/>
      <c r="CC182" s="110"/>
      <c r="CD182" s="110"/>
      <c r="CE182" s="110"/>
      <c r="CF182" s="110"/>
    </row>
    <row r="183" spans="4:84" s="326" customFormat="1">
      <c r="D183" s="852"/>
      <c r="E183" s="325"/>
      <c r="N183" s="327"/>
      <c r="O183" s="327"/>
      <c r="U183" s="327"/>
      <c r="V183" s="327"/>
      <c r="W183" s="327"/>
      <c r="X183" s="327"/>
      <c r="Y183" s="327"/>
      <c r="Z183" s="327"/>
      <c r="BB183" s="327"/>
      <c r="BH183" s="327"/>
      <c r="BK183" s="110"/>
      <c r="BL183" s="110"/>
      <c r="BM183" s="110"/>
      <c r="BN183" s="110"/>
      <c r="BO183" s="110"/>
      <c r="BP183" s="110"/>
      <c r="BQ183" s="110"/>
      <c r="BR183" s="110"/>
      <c r="BS183" s="110"/>
      <c r="BT183" s="110"/>
      <c r="BU183" s="110"/>
      <c r="BV183" s="110"/>
      <c r="BW183" s="110"/>
      <c r="BX183" s="110"/>
      <c r="BY183" s="110"/>
      <c r="BZ183" s="110"/>
      <c r="CA183" s="110"/>
      <c r="CB183" s="110"/>
      <c r="CC183" s="110"/>
      <c r="CD183" s="110"/>
      <c r="CE183" s="110"/>
      <c r="CF183" s="110"/>
    </row>
    <row r="184" spans="4:84" s="326" customFormat="1">
      <c r="D184" s="852"/>
      <c r="E184" s="325"/>
      <c r="N184" s="327"/>
      <c r="O184" s="327"/>
      <c r="U184" s="327"/>
      <c r="V184" s="327"/>
      <c r="W184" s="327"/>
      <c r="X184" s="327"/>
      <c r="Y184" s="327"/>
      <c r="Z184" s="327"/>
      <c r="BB184" s="327"/>
      <c r="BH184" s="327"/>
      <c r="BK184" s="110"/>
      <c r="BL184" s="110"/>
      <c r="BM184" s="110"/>
      <c r="BN184" s="110"/>
      <c r="BO184" s="110"/>
      <c r="BP184" s="110"/>
      <c r="BQ184" s="110"/>
      <c r="BR184" s="110"/>
      <c r="BS184" s="110"/>
      <c r="BT184" s="110"/>
      <c r="BU184" s="110"/>
      <c r="BV184" s="110"/>
      <c r="BW184" s="110"/>
      <c r="BX184" s="110"/>
      <c r="BY184" s="110"/>
      <c r="BZ184" s="110"/>
      <c r="CA184" s="110"/>
      <c r="CB184" s="110"/>
      <c r="CC184" s="110"/>
      <c r="CD184" s="110"/>
      <c r="CE184" s="110"/>
      <c r="CF184" s="110"/>
    </row>
    <row r="185" spans="4:84" s="326" customFormat="1">
      <c r="D185" s="852"/>
      <c r="E185" s="325"/>
      <c r="N185" s="327"/>
      <c r="O185" s="327"/>
      <c r="U185" s="327"/>
      <c r="V185" s="327"/>
      <c r="W185" s="327"/>
      <c r="X185" s="327"/>
      <c r="Y185" s="327"/>
      <c r="Z185" s="327"/>
      <c r="BB185" s="327"/>
      <c r="BH185" s="327"/>
      <c r="BK185" s="110"/>
      <c r="BL185" s="110"/>
      <c r="BM185" s="110"/>
      <c r="BN185" s="110"/>
      <c r="BO185" s="110"/>
      <c r="BP185" s="110"/>
      <c r="BQ185" s="110"/>
      <c r="BR185" s="110"/>
      <c r="BS185" s="110"/>
      <c r="BT185" s="110"/>
      <c r="BU185" s="110"/>
      <c r="BV185" s="110"/>
      <c r="BW185" s="110"/>
      <c r="BX185" s="110"/>
      <c r="BY185" s="110"/>
      <c r="BZ185" s="110"/>
      <c r="CA185" s="110"/>
      <c r="CB185" s="110"/>
      <c r="CC185" s="110"/>
      <c r="CD185" s="110"/>
      <c r="CE185" s="110"/>
      <c r="CF185" s="110"/>
    </row>
    <row r="186" spans="4:84" s="326" customFormat="1">
      <c r="D186" s="852"/>
      <c r="E186" s="325"/>
      <c r="N186" s="327"/>
      <c r="O186" s="327"/>
      <c r="U186" s="327"/>
      <c r="V186" s="327"/>
      <c r="W186" s="327"/>
      <c r="X186" s="327"/>
      <c r="Y186" s="327"/>
      <c r="Z186" s="327"/>
      <c r="BB186" s="327"/>
      <c r="BH186" s="327"/>
      <c r="BK186" s="110"/>
      <c r="BL186" s="110"/>
      <c r="BM186" s="110"/>
      <c r="BN186" s="110"/>
      <c r="BO186" s="110"/>
      <c r="BP186" s="110"/>
      <c r="BQ186" s="110"/>
      <c r="BR186" s="110"/>
      <c r="BS186" s="110"/>
      <c r="BT186" s="110"/>
      <c r="BU186" s="110"/>
      <c r="BV186" s="110"/>
      <c r="BW186" s="110"/>
      <c r="BX186" s="110"/>
      <c r="BY186" s="110"/>
      <c r="BZ186" s="110"/>
      <c r="CA186" s="110"/>
      <c r="CB186" s="110"/>
      <c r="CC186" s="110"/>
      <c r="CD186" s="110"/>
      <c r="CE186" s="110"/>
      <c r="CF186" s="110"/>
    </row>
    <row r="187" spans="4:84" s="326" customFormat="1">
      <c r="D187" s="852"/>
      <c r="E187" s="325"/>
      <c r="N187" s="327"/>
      <c r="O187" s="327"/>
      <c r="U187" s="327"/>
      <c r="V187" s="327"/>
      <c r="W187" s="327"/>
      <c r="X187" s="327"/>
      <c r="Y187" s="327"/>
      <c r="Z187" s="327"/>
      <c r="BB187" s="327"/>
      <c r="BH187" s="327"/>
      <c r="BK187" s="110"/>
      <c r="BL187" s="110"/>
      <c r="BM187" s="110"/>
      <c r="BN187" s="110"/>
      <c r="BO187" s="110"/>
      <c r="BP187" s="110"/>
      <c r="BQ187" s="110"/>
      <c r="BR187" s="110"/>
      <c r="BS187" s="110"/>
      <c r="BT187" s="110"/>
      <c r="BU187" s="110"/>
      <c r="BV187" s="110"/>
      <c r="BW187" s="110"/>
      <c r="BX187" s="110"/>
      <c r="BY187" s="110"/>
      <c r="BZ187" s="110"/>
      <c r="CA187" s="110"/>
      <c r="CB187" s="110"/>
      <c r="CC187" s="110"/>
      <c r="CD187" s="110"/>
      <c r="CE187" s="110"/>
      <c r="CF187" s="110"/>
    </row>
    <row r="188" spans="4:84" s="326" customFormat="1">
      <c r="D188" s="852"/>
      <c r="E188" s="325"/>
      <c r="N188" s="327"/>
      <c r="O188" s="327"/>
      <c r="U188" s="327"/>
      <c r="V188" s="327"/>
      <c r="W188" s="327"/>
      <c r="X188" s="327"/>
      <c r="Y188" s="327"/>
      <c r="Z188" s="327"/>
      <c r="BB188" s="327"/>
      <c r="BH188" s="327"/>
      <c r="BK188" s="110"/>
      <c r="BL188" s="110"/>
      <c r="BM188" s="110"/>
      <c r="BN188" s="110"/>
      <c r="BO188" s="110"/>
      <c r="BP188" s="110"/>
      <c r="BQ188" s="110"/>
      <c r="BR188" s="110"/>
      <c r="BS188" s="110"/>
      <c r="BT188" s="110"/>
      <c r="BU188" s="110"/>
      <c r="BV188" s="110"/>
      <c r="BW188" s="110"/>
      <c r="BX188" s="110"/>
      <c r="BY188" s="110"/>
      <c r="BZ188" s="110"/>
      <c r="CA188" s="110"/>
      <c r="CB188" s="110"/>
      <c r="CC188" s="110"/>
      <c r="CD188" s="110"/>
      <c r="CE188" s="110"/>
      <c r="CF188" s="110"/>
    </row>
    <row r="189" spans="4:84" s="326" customFormat="1">
      <c r="D189" s="852"/>
      <c r="E189" s="325"/>
      <c r="N189" s="327"/>
      <c r="O189" s="327"/>
      <c r="U189" s="327"/>
      <c r="V189" s="327"/>
      <c r="W189" s="327"/>
      <c r="X189" s="327"/>
      <c r="Y189" s="327"/>
      <c r="Z189" s="327"/>
      <c r="BB189" s="327"/>
      <c r="BH189" s="327"/>
      <c r="BK189" s="110"/>
      <c r="BL189" s="110"/>
      <c r="BM189" s="110"/>
      <c r="BN189" s="110"/>
      <c r="BO189" s="110"/>
      <c r="BP189" s="110"/>
      <c r="BQ189" s="110"/>
      <c r="BR189" s="110"/>
      <c r="BS189" s="110"/>
      <c r="BT189" s="110"/>
      <c r="BU189" s="110"/>
      <c r="BV189" s="110"/>
      <c r="BW189" s="110"/>
      <c r="BX189" s="110"/>
      <c r="BY189" s="110"/>
      <c r="BZ189" s="110"/>
      <c r="CA189" s="110"/>
      <c r="CB189" s="110"/>
      <c r="CC189" s="110"/>
      <c r="CD189" s="110"/>
      <c r="CE189" s="110"/>
      <c r="CF189" s="110"/>
    </row>
    <row r="190" spans="4:84" s="326" customFormat="1">
      <c r="D190" s="852"/>
      <c r="E190" s="325"/>
      <c r="N190" s="327"/>
      <c r="O190" s="327"/>
      <c r="U190" s="327"/>
      <c r="V190" s="327"/>
      <c r="W190" s="327"/>
      <c r="X190" s="327"/>
      <c r="Y190" s="327"/>
      <c r="Z190" s="327"/>
      <c r="BB190" s="327"/>
      <c r="BH190" s="327"/>
      <c r="BK190" s="110"/>
      <c r="BL190" s="110"/>
      <c r="BM190" s="110"/>
      <c r="BN190" s="110"/>
      <c r="BO190" s="110"/>
      <c r="BP190" s="110"/>
      <c r="BQ190" s="110"/>
      <c r="BR190" s="110"/>
      <c r="BS190" s="110"/>
      <c r="BT190" s="110"/>
      <c r="BU190" s="110"/>
      <c r="BV190" s="110"/>
      <c r="BW190" s="110"/>
      <c r="BX190" s="110"/>
      <c r="BY190" s="110"/>
      <c r="BZ190" s="110"/>
      <c r="CA190" s="110"/>
      <c r="CB190" s="110"/>
      <c r="CC190" s="110"/>
      <c r="CD190" s="110"/>
      <c r="CE190" s="110"/>
      <c r="CF190" s="110"/>
    </row>
    <row r="191" spans="4:84" s="326" customFormat="1">
      <c r="D191" s="852"/>
      <c r="E191" s="325"/>
      <c r="N191" s="327"/>
      <c r="O191" s="327"/>
      <c r="U191" s="327"/>
      <c r="V191" s="327"/>
      <c r="W191" s="327"/>
      <c r="X191" s="327"/>
      <c r="Y191" s="327"/>
      <c r="Z191" s="327"/>
      <c r="BB191" s="327"/>
      <c r="BH191" s="327"/>
      <c r="BK191" s="110"/>
      <c r="BL191" s="110"/>
      <c r="BM191" s="110"/>
      <c r="BN191" s="110"/>
      <c r="BO191" s="110"/>
      <c r="BP191" s="110"/>
      <c r="BQ191" s="110"/>
      <c r="BR191" s="110"/>
      <c r="BS191" s="110"/>
      <c r="BT191" s="110"/>
      <c r="BU191" s="110"/>
      <c r="BV191" s="110"/>
      <c r="BW191" s="110"/>
      <c r="BX191" s="110"/>
      <c r="BY191" s="110"/>
      <c r="BZ191" s="110"/>
      <c r="CA191" s="110"/>
      <c r="CB191" s="110"/>
      <c r="CC191" s="110"/>
      <c r="CD191" s="110"/>
      <c r="CE191" s="110"/>
      <c r="CF191" s="110"/>
    </row>
    <row r="192" spans="4:84" s="326" customFormat="1">
      <c r="D192" s="852"/>
      <c r="E192" s="325"/>
      <c r="N192" s="327"/>
      <c r="O192" s="327"/>
      <c r="U192" s="327"/>
      <c r="V192" s="327"/>
      <c r="W192" s="327"/>
      <c r="X192" s="327"/>
      <c r="Y192" s="327"/>
      <c r="Z192" s="327"/>
      <c r="BB192" s="327"/>
      <c r="BH192" s="327"/>
      <c r="BK192" s="110"/>
      <c r="BL192" s="110"/>
      <c r="BM192" s="110"/>
      <c r="BN192" s="110"/>
      <c r="BO192" s="110"/>
      <c r="BP192" s="110"/>
      <c r="BQ192" s="110"/>
      <c r="BR192" s="110"/>
      <c r="BS192" s="110"/>
      <c r="BT192" s="110"/>
      <c r="BU192" s="110"/>
      <c r="BV192" s="110"/>
      <c r="BW192" s="110"/>
      <c r="BX192" s="110"/>
      <c r="BY192" s="110"/>
      <c r="BZ192" s="110"/>
      <c r="CA192" s="110"/>
      <c r="CB192" s="110"/>
      <c r="CC192" s="110"/>
      <c r="CD192" s="110"/>
      <c r="CE192" s="110"/>
      <c r="CF192" s="110"/>
    </row>
    <row r="193" spans="4:84" s="326" customFormat="1">
      <c r="D193" s="852"/>
      <c r="E193" s="325"/>
      <c r="N193" s="327"/>
      <c r="O193" s="327"/>
      <c r="U193" s="327"/>
      <c r="V193" s="327"/>
      <c r="W193" s="327"/>
      <c r="X193" s="327"/>
      <c r="Y193" s="327"/>
      <c r="Z193" s="327"/>
      <c r="BB193" s="327"/>
      <c r="BH193" s="327"/>
      <c r="BK193" s="110"/>
      <c r="BL193" s="110"/>
      <c r="BM193" s="110"/>
      <c r="BN193" s="110"/>
      <c r="BO193" s="110"/>
      <c r="BP193" s="110"/>
      <c r="BQ193" s="110"/>
      <c r="BR193" s="110"/>
      <c r="BS193" s="110"/>
      <c r="BT193" s="110"/>
      <c r="BU193" s="110"/>
      <c r="BV193" s="110"/>
      <c r="BW193" s="110"/>
      <c r="BX193" s="110"/>
      <c r="BY193" s="110"/>
      <c r="BZ193" s="110"/>
      <c r="CA193" s="110"/>
      <c r="CB193" s="110"/>
      <c r="CC193" s="110"/>
      <c r="CD193" s="110"/>
      <c r="CE193" s="110"/>
      <c r="CF193" s="110"/>
    </row>
    <row r="194" spans="4:84" s="326" customFormat="1">
      <c r="D194" s="852"/>
      <c r="E194" s="325"/>
      <c r="N194" s="327"/>
      <c r="O194" s="327"/>
      <c r="U194" s="327"/>
      <c r="V194" s="327"/>
      <c r="W194" s="327"/>
      <c r="X194" s="327"/>
      <c r="Y194" s="327"/>
      <c r="Z194" s="327"/>
      <c r="BB194" s="327"/>
      <c r="BH194" s="327"/>
      <c r="BK194" s="110"/>
      <c r="BL194" s="110"/>
      <c r="BM194" s="110"/>
      <c r="BN194" s="110"/>
      <c r="BO194" s="110"/>
      <c r="BP194" s="110"/>
      <c r="BQ194" s="110"/>
      <c r="BR194" s="110"/>
      <c r="BS194" s="110"/>
      <c r="BT194" s="110"/>
      <c r="BU194" s="110"/>
      <c r="BV194" s="110"/>
      <c r="BW194" s="110"/>
      <c r="BX194" s="110"/>
      <c r="BY194" s="110"/>
      <c r="BZ194" s="110"/>
      <c r="CA194" s="110"/>
      <c r="CB194" s="110"/>
      <c r="CC194" s="110"/>
      <c r="CD194" s="110"/>
      <c r="CE194" s="110"/>
      <c r="CF194" s="110"/>
    </row>
    <row r="195" spans="4:84" s="326" customFormat="1">
      <c r="D195" s="852"/>
      <c r="E195" s="325"/>
      <c r="N195" s="327"/>
      <c r="O195" s="327"/>
      <c r="U195" s="327"/>
      <c r="V195" s="327"/>
      <c r="W195" s="327"/>
      <c r="X195" s="327"/>
      <c r="Y195" s="327"/>
      <c r="Z195" s="327"/>
      <c r="BB195" s="327"/>
      <c r="BH195" s="327"/>
      <c r="BK195" s="110"/>
      <c r="BL195" s="110"/>
      <c r="BM195" s="110"/>
      <c r="BN195" s="110"/>
      <c r="BO195" s="110"/>
      <c r="BP195" s="110"/>
      <c r="BQ195" s="110"/>
      <c r="BR195" s="110"/>
      <c r="BS195" s="110"/>
      <c r="BT195" s="110"/>
      <c r="BU195" s="110"/>
      <c r="BV195" s="110"/>
      <c r="BW195" s="110"/>
      <c r="BX195" s="110"/>
      <c r="BY195" s="110"/>
      <c r="BZ195" s="110"/>
      <c r="CA195" s="110"/>
      <c r="CB195" s="110"/>
      <c r="CC195" s="110"/>
      <c r="CD195" s="110"/>
      <c r="CE195" s="110"/>
      <c r="CF195" s="110"/>
    </row>
    <row r="196" spans="4:84" s="326" customFormat="1">
      <c r="D196" s="852"/>
      <c r="E196" s="325"/>
      <c r="N196" s="327"/>
      <c r="O196" s="327"/>
      <c r="U196" s="327"/>
      <c r="V196" s="327"/>
      <c r="W196" s="327"/>
      <c r="X196" s="327"/>
      <c r="Y196" s="327"/>
      <c r="Z196" s="327"/>
      <c r="BB196" s="327"/>
      <c r="BH196" s="327"/>
      <c r="BK196" s="110"/>
      <c r="BL196" s="110"/>
      <c r="BM196" s="110"/>
      <c r="BN196" s="110"/>
      <c r="BO196" s="110"/>
      <c r="BP196" s="110"/>
      <c r="BQ196" s="110"/>
      <c r="BR196" s="110"/>
      <c r="BS196" s="110"/>
      <c r="BT196" s="110"/>
      <c r="BU196" s="110"/>
      <c r="BV196" s="110"/>
      <c r="BW196" s="110"/>
      <c r="BX196" s="110"/>
      <c r="BY196" s="110"/>
      <c r="BZ196" s="110"/>
      <c r="CA196" s="110"/>
      <c r="CB196" s="110"/>
      <c r="CC196" s="110"/>
      <c r="CD196" s="110"/>
      <c r="CE196" s="110"/>
      <c r="CF196" s="110"/>
    </row>
    <row r="197" spans="4:84">
      <c r="D197" s="855"/>
      <c r="E197" s="845"/>
      <c r="F197" s="304"/>
      <c r="BE197" s="304"/>
      <c r="BF197" s="304"/>
      <c r="BG197" s="304"/>
    </row>
  </sheetData>
  <mergeCells count="53">
    <mergeCell ref="BI1:CF1"/>
    <mergeCell ref="K2:K3"/>
    <mergeCell ref="H4:I4"/>
    <mergeCell ref="E2:E3"/>
    <mergeCell ref="F2:F3"/>
    <mergeCell ref="L2:L3"/>
    <mergeCell ref="H2:I3"/>
    <mergeCell ref="J2:J3"/>
    <mergeCell ref="BU2:BZ2"/>
    <mergeCell ref="A1:BG1"/>
    <mergeCell ref="A2:A3"/>
    <mergeCell ref="B2:C3"/>
    <mergeCell ref="D2:D3"/>
    <mergeCell ref="AB2:AH2"/>
    <mergeCell ref="AI2:AO2"/>
    <mergeCell ref="M2:M3"/>
    <mergeCell ref="BK35:BM35"/>
    <mergeCell ref="AY2:AY3"/>
    <mergeCell ref="AZ2:AZ3"/>
    <mergeCell ref="AP2:AP3"/>
    <mergeCell ref="AQ2:AQ3"/>
    <mergeCell ref="AR2:AX2"/>
    <mergeCell ref="BK2:BS2"/>
    <mergeCell ref="BH2:BH3"/>
    <mergeCell ref="BG2:BG3"/>
    <mergeCell ref="BA2:BA3"/>
    <mergeCell ref="BE2:BE3"/>
    <mergeCell ref="BF2:BF3"/>
    <mergeCell ref="BC2:BC3"/>
    <mergeCell ref="BD2:BD3"/>
    <mergeCell ref="BB2:BB3"/>
    <mergeCell ref="N2:N3"/>
    <mergeCell ref="P2:P3"/>
    <mergeCell ref="G2:G3"/>
    <mergeCell ref="D34:F34"/>
    <mergeCell ref="Q4:S4"/>
    <mergeCell ref="O2:O3"/>
    <mergeCell ref="T2:T3"/>
    <mergeCell ref="U2:AA2"/>
    <mergeCell ref="R2:R3"/>
    <mergeCell ref="Q2:Q3"/>
    <mergeCell ref="U4:AO4"/>
    <mergeCell ref="S2:S3"/>
    <mergeCell ref="A11:A12"/>
    <mergeCell ref="D11:D12"/>
    <mergeCell ref="D14:D15"/>
    <mergeCell ref="A14:A15"/>
    <mergeCell ref="A28:A29"/>
    <mergeCell ref="D28:D29"/>
    <mergeCell ref="A16:A17"/>
    <mergeCell ref="D16:D17"/>
    <mergeCell ref="D24:D25"/>
    <mergeCell ref="A24:A25"/>
  </mergeCells>
  <pageMargins left="0.7" right="0.7" top="0.75" bottom="0.75" header="0.3" footer="0.3"/>
  <pageSetup paperSize="9" scale="88" orientation="landscape" r:id="rId1"/>
  <extLst>
    <ext xmlns:x14="http://schemas.microsoft.com/office/spreadsheetml/2009/9/main" uri="{CCE6A557-97BC-4b89-ADB6-D9C93CAAB3DF}">
      <x14:dataValidations xmlns:xm="http://schemas.microsoft.com/office/excel/2006/main" disablePrompts="1" count="8">
        <x14:dataValidation type="list" allowBlank="1" showInputMessage="1" showErrorMessage="1" xr:uid="{00000000-0002-0000-0300-000000000000}">
          <x14:formula1>
            <xm:f>'Założenia,wskaźniki, listy'!$J$65:$J$68</xm:f>
          </x14:formula1>
          <xm:sqref>BE5</xm:sqref>
        </x14:dataValidation>
        <x14:dataValidation type="list" allowBlank="1" showInputMessage="1" showErrorMessage="1" xr:uid="{00000000-0002-0000-0300-000001000000}">
          <x14:formula1>
            <xm:f>'Założenia,wskaźniki, listy'!$N$20:$N$25</xm:f>
          </x14:formula1>
          <xm:sqref>BC5 BC14:BC16 BC18:BC30 AZ5:AZ30</xm:sqref>
        </x14:dataValidation>
        <x14:dataValidation type="list" allowBlank="1" showInputMessage="1" showErrorMessage="1" xr:uid="{00000000-0002-0000-0300-000002000000}">
          <x14:formula1>
            <xm:f>'Założenia,wskaźniki, listy'!$N$18:$N$25</xm:f>
          </x14:formula1>
          <xm:sqref>BC17 BC6:BC13</xm:sqref>
        </x14:dataValidation>
        <x14:dataValidation type="list" allowBlank="1" showInputMessage="1" showErrorMessage="1" xr:uid="{00000000-0002-0000-0300-000003000000}">
          <x14:formula1>
            <xm:f>'Założenia,wskaźniki, listy'!$O$14:$O$15</xm:f>
          </x14:formula1>
          <xm:sqref>AY5:AY30</xm:sqref>
        </x14:dataValidation>
        <x14:dataValidation type="list" allowBlank="1" showInputMessage="1" showErrorMessage="1" xr:uid="{00000000-0002-0000-0300-000004000000}">
          <x14:formula1>
            <xm:f>'Założenia,wskaźniki, listy'!$J$64:$J$68</xm:f>
          </x14:formula1>
          <xm:sqref>BB5:BB30</xm:sqref>
        </x14:dataValidation>
        <x14:dataValidation type="list" allowBlank="1" showInputMessage="1" showErrorMessage="1" xr:uid="{00000000-0002-0000-0300-000005000000}">
          <x14:formula1>
            <xm:f>'Założenia,wskaźniki, listy'!$A$4:$A$10</xm:f>
          </x14:formula1>
          <xm:sqref>P5:P30 L5:L30</xm:sqref>
        </x14:dataValidation>
        <x14:dataValidation type="list" allowBlank="1" showInputMessage="1" showErrorMessage="1" xr:uid="{00000000-0002-0000-0300-000006000000}">
          <x14:formula1>
            <xm:f>'Założenia,wskaźniki, listy'!$M$31:$M$32</xm:f>
          </x14:formula1>
          <xm:sqref>BE6:BE30</xm:sqref>
        </x14:dataValidation>
        <x14:dataValidation type="list" allowBlank="1" showInputMessage="1" showErrorMessage="1" xr:uid="{00000000-0002-0000-0300-000007000000}">
          <x14:formula1>
            <xm:f>'Założenia,wskaźniki, listy'!$A$15:$A$17</xm:f>
          </x14:formula1>
          <xm:sqref>K5:K30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2F014"/>
  </sheetPr>
  <dimension ref="A1:AR33"/>
  <sheetViews>
    <sheetView view="pageBreakPreview" topLeftCell="K1" zoomScale="84" zoomScaleNormal="100" zoomScaleSheetLayoutView="84" workbookViewId="0">
      <pane ySplit="5" topLeftCell="A18" activePane="bottomLeft" state="frozen"/>
      <selection activeCell="K1" sqref="K1"/>
      <selection pane="bottomLeft" activeCell="AO7" sqref="AO7"/>
    </sheetView>
  </sheetViews>
  <sheetFormatPr defaultColWidth="9" defaultRowHeight="13.8"/>
  <cols>
    <col min="1" max="1" width="5.3984375" style="38" hidden="1" customWidth="1"/>
    <col min="2" max="2" width="13.19921875" style="25" hidden="1" customWidth="1"/>
    <col min="3" max="3" width="19.8984375" style="25" hidden="1" customWidth="1"/>
    <col min="4" max="4" width="4.8984375" hidden="1" customWidth="1"/>
    <col min="5" max="5" width="8.3984375" style="25" hidden="1" customWidth="1"/>
    <col min="6" max="6" width="7.19921875" style="25" hidden="1" customWidth="1"/>
    <col min="7" max="8" width="9.19921875" style="25" hidden="1" customWidth="1"/>
    <col min="9" max="9" width="11.8984375" style="25" hidden="1" customWidth="1"/>
    <col min="10" max="10" width="10.09765625" style="25" hidden="1" customWidth="1"/>
    <col min="11" max="11" width="17.19921875" style="25" customWidth="1"/>
    <col min="12" max="13" width="9.09765625" style="25" hidden="1" customWidth="1"/>
    <col min="14" max="14" width="8.3984375" style="25" hidden="1" customWidth="1"/>
    <col min="15" max="15" width="10" style="25" hidden="1" customWidth="1"/>
    <col min="16" max="16" width="11.8984375" style="25" bestFit="1" customWidth="1"/>
    <col min="17" max="17" width="13.3984375" style="25" customWidth="1"/>
    <col min="18" max="19" width="13.3984375" style="25" hidden="1" customWidth="1"/>
    <col min="20" max="20" width="9.5" style="29" hidden="1" customWidth="1"/>
    <col min="21" max="21" width="7.19921875" style="29" hidden="1" customWidth="1"/>
    <col min="22" max="22" width="11.3984375" style="29" hidden="1" customWidth="1"/>
    <col min="23" max="25" width="6" style="29" hidden="1" customWidth="1"/>
    <col min="26" max="28" width="7.09765625" style="25" hidden="1" customWidth="1"/>
    <col min="29" max="29" width="8" style="25" hidden="1" customWidth="1"/>
    <col min="30" max="33" width="7.09765625" style="25" hidden="1" customWidth="1"/>
    <col min="34" max="35" width="7.5" style="25" bestFit="1" customWidth="1"/>
    <col min="36" max="36" width="10.59765625" style="25" customWidth="1"/>
    <col min="37" max="37" width="7.5" style="25" bestFit="1" customWidth="1"/>
    <col min="38" max="38" width="8.5" style="25" bestFit="1" customWidth="1"/>
    <col min="39" max="39" width="7.5" style="25" bestFit="1" customWidth="1"/>
    <col min="40" max="40" width="9.3984375" style="25" customWidth="1"/>
    <col min="41" max="41" width="9.5" style="25" bestFit="1" customWidth="1"/>
    <col min="42" max="42" width="16.8984375" style="25" customWidth="1"/>
    <col min="43" max="43" width="14.5" style="25" customWidth="1"/>
    <col min="44" max="16384" width="9" style="25"/>
  </cols>
  <sheetData>
    <row r="1" spans="1:44">
      <c r="K1" s="345" t="s">
        <v>396</v>
      </c>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row>
    <row r="2" spans="1:44" ht="14.4" thickBot="1">
      <c r="K2" s="1026" t="s">
        <v>188</v>
      </c>
      <c r="L2" s="1026"/>
      <c r="M2" s="1026"/>
      <c r="N2" s="1026"/>
      <c r="O2" s="1026"/>
      <c r="P2" s="1026"/>
      <c r="Q2" s="1026"/>
      <c r="R2" s="1020" t="s">
        <v>425</v>
      </c>
      <c r="S2" s="1021"/>
      <c r="T2" s="1021"/>
      <c r="U2" s="1021"/>
      <c r="V2" s="1021"/>
      <c r="W2" s="1021"/>
      <c r="X2" s="1021"/>
      <c r="Y2" s="1021"/>
      <c r="Z2" s="1021"/>
      <c r="AA2" s="1021"/>
      <c r="AB2" s="1021"/>
      <c r="AC2" s="1021"/>
      <c r="AD2" s="1021"/>
      <c r="AE2" s="1021"/>
      <c r="AF2" s="1021"/>
      <c r="AG2" s="1022"/>
      <c r="AH2" s="1016" t="s">
        <v>187</v>
      </c>
      <c r="AI2" s="1016"/>
      <c r="AJ2" s="1016"/>
      <c r="AK2" s="1016"/>
      <c r="AL2" s="1016"/>
      <c r="AM2" s="1016"/>
      <c r="AN2" s="1016"/>
    </row>
    <row r="3" spans="1:44" s="32" customFormat="1" ht="46.5" customHeight="1" thickTop="1">
      <c r="A3" s="1040" t="s">
        <v>4</v>
      </c>
      <c r="B3" s="1042" t="s">
        <v>20</v>
      </c>
      <c r="C3" s="1042" t="s">
        <v>101</v>
      </c>
      <c r="D3" s="1023" t="s">
        <v>102</v>
      </c>
      <c r="E3" s="1023" t="s">
        <v>24</v>
      </c>
      <c r="F3" s="1023" t="s">
        <v>105</v>
      </c>
      <c r="G3" s="1044" t="s">
        <v>5</v>
      </c>
      <c r="H3" s="1045"/>
      <c r="I3" s="1023" t="s">
        <v>34</v>
      </c>
      <c r="J3" s="1023" t="s">
        <v>77</v>
      </c>
      <c r="K3" s="1017" t="s">
        <v>194</v>
      </c>
      <c r="L3" s="1018" t="s">
        <v>78</v>
      </c>
      <c r="M3" s="1024" t="s">
        <v>118</v>
      </c>
      <c r="N3" s="1017" t="s">
        <v>47</v>
      </c>
      <c r="O3" s="1017" t="s">
        <v>96</v>
      </c>
      <c r="P3" s="1017" t="s">
        <v>381</v>
      </c>
      <c r="Q3" s="1018" t="s">
        <v>374</v>
      </c>
      <c r="R3" s="591" t="s">
        <v>415</v>
      </c>
      <c r="S3" s="591" t="s">
        <v>416</v>
      </c>
      <c r="T3" s="1016" t="s">
        <v>417</v>
      </c>
      <c r="U3" s="1016"/>
      <c r="V3" s="1016"/>
      <c r="W3" s="1016"/>
      <c r="X3" s="1016"/>
      <c r="Y3" s="1016"/>
      <c r="Z3" s="1016"/>
      <c r="AA3" s="1016" t="s">
        <v>430</v>
      </c>
      <c r="AB3" s="1016"/>
      <c r="AC3" s="1016"/>
      <c r="AD3" s="1016"/>
      <c r="AE3" s="1016"/>
      <c r="AF3" s="1016"/>
      <c r="AG3" s="1016"/>
      <c r="AH3" s="1016"/>
      <c r="AI3" s="1016"/>
      <c r="AJ3" s="1016"/>
      <c r="AK3" s="1016"/>
      <c r="AL3" s="1016"/>
      <c r="AM3" s="1016"/>
      <c r="AN3" s="1016"/>
      <c r="AP3" s="1031" t="s">
        <v>545</v>
      </c>
      <c r="AQ3" s="1032"/>
      <c r="AR3" s="1033"/>
    </row>
    <row r="4" spans="1:44" s="32" customFormat="1" ht="24.75" customHeight="1">
      <c r="A4" s="1041"/>
      <c r="B4" s="1043"/>
      <c r="C4" s="1043"/>
      <c r="D4" s="1019"/>
      <c r="E4" s="1019"/>
      <c r="F4" s="1019"/>
      <c r="G4" s="93" t="s">
        <v>46</v>
      </c>
      <c r="H4" s="93"/>
      <c r="I4" s="1019"/>
      <c r="J4" s="1019"/>
      <c r="K4" s="1017"/>
      <c r="L4" s="1019"/>
      <c r="M4" s="1025"/>
      <c r="N4" s="1017"/>
      <c r="O4" s="1017"/>
      <c r="P4" s="1017"/>
      <c r="Q4" s="1019"/>
      <c r="R4" s="592"/>
      <c r="S4" s="592"/>
      <c r="T4" s="33" t="s">
        <v>66</v>
      </c>
      <c r="U4" s="33" t="s">
        <v>67</v>
      </c>
      <c r="V4" s="33" t="s">
        <v>68</v>
      </c>
      <c r="W4" s="33" t="s">
        <v>69</v>
      </c>
      <c r="X4" s="33" t="s">
        <v>70</v>
      </c>
      <c r="Y4" s="33" t="s">
        <v>71</v>
      </c>
      <c r="Z4" s="34" t="s">
        <v>72</v>
      </c>
      <c r="AA4" s="33" t="s">
        <v>66</v>
      </c>
      <c r="AB4" s="33" t="s">
        <v>67</v>
      </c>
      <c r="AC4" s="33" t="s">
        <v>68</v>
      </c>
      <c r="AD4" s="33" t="s">
        <v>69</v>
      </c>
      <c r="AE4" s="33" t="s">
        <v>70</v>
      </c>
      <c r="AF4" s="33" t="s">
        <v>71</v>
      </c>
      <c r="AG4" s="34" t="s">
        <v>72</v>
      </c>
      <c r="AH4" s="112" t="s">
        <v>376</v>
      </c>
      <c r="AI4" s="112" t="s">
        <v>377</v>
      </c>
      <c r="AJ4" s="112" t="s">
        <v>427</v>
      </c>
      <c r="AK4" s="112" t="s">
        <v>426</v>
      </c>
      <c r="AL4" s="112" t="s">
        <v>378</v>
      </c>
      <c r="AM4" s="113" t="s">
        <v>379</v>
      </c>
      <c r="AN4" s="112" t="s">
        <v>72</v>
      </c>
      <c r="AP4" s="301" t="s">
        <v>194</v>
      </c>
      <c r="AQ4" s="301" t="s">
        <v>375</v>
      </c>
      <c r="AR4" s="301" t="s">
        <v>193</v>
      </c>
    </row>
    <row r="5" spans="1:44" s="32" customFormat="1">
      <c r="A5" s="37">
        <v>1</v>
      </c>
      <c r="B5" s="35">
        <v>2</v>
      </c>
      <c r="C5" s="35">
        <v>3</v>
      </c>
      <c r="D5"/>
      <c r="E5" s="35">
        <v>4</v>
      </c>
      <c r="F5" s="35">
        <v>4</v>
      </c>
      <c r="G5" s="1034">
        <v>7</v>
      </c>
      <c r="H5" s="1035"/>
      <c r="I5" s="35">
        <v>5</v>
      </c>
      <c r="J5" s="35">
        <v>6</v>
      </c>
      <c r="K5" s="36">
        <v>1</v>
      </c>
      <c r="L5" s="36">
        <v>11</v>
      </c>
      <c r="M5" s="43">
        <v>11</v>
      </c>
      <c r="N5" s="36">
        <v>12</v>
      </c>
      <c r="O5" s="36">
        <v>13</v>
      </c>
      <c r="P5" s="36">
        <v>2</v>
      </c>
      <c r="Q5" s="36">
        <v>3</v>
      </c>
      <c r="R5" s="36"/>
      <c r="S5" s="36"/>
      <c r="T5" s="36">
        <f>Q5+1</f>
        <v>4</v>
      </c>
      <c r="U5" s="36">
        <f>T5+1</f>
        <v>5</v>
      </c>
      <c r="V5" s="36">
        <f>U5+1</f>
        <v>6</v>
      </c>
      <c r="W5" s="36">
        <f>V5+1</f>
        <v>7</v>
      </c>
      <c r="X5" s="36">
        <f>W5+1</f>
        <v>8</v>
      </c>
      <c r="Y5" s="36">
        <v>20</v>
      </c>
      <c r="Z5" s="36">
        <v>21</v>
      </c>
      <c r="AA5" s="36"/>
      <c r="AB5" s="36"/>
      <c r="AC5" s="36"/>
      <c r="AD5" s="36"/>
      <c r="AE5" s="36"/>
      <c r="AF5" s="36"/>
      <c r="AG5" s="36"/>
      <c r="AH5" s="36">
        <f>Q5+1</f>
        <v>4</v>
      </c>
      <c r="AI5" s="36">
        <f>T5+1</f>
        <v>5</v>
      </c>
      <c r="AJ5" s="36">
        <f>U5+1</f>
        <v>6</v>
      </c>
      <c r="AK5" s="36">
        <f>V5+1</f>
        <v>7</v>
      </c>
      <c r="AL5" s="36">
        <f>W5+1</f>
        <v>8</v>
      </c>
      <c r="AM5" s="36">
        <f>X5+1</f>
        <v>9</v>
      </c>
      <c r="AN5" s="36">
        <v>10</v>
      </c>
      <c r="AP5" s="351" t="s">
        <v>8</v>
      </c>
      <c r="AQ5" s="349">
        <f>'Budynki komunalne - baza '!E36</f>
        <v>2211.9444282250001</v>
      </c>
      <c r="AR5" s="486">
        <f>AQ5/$AQ$13</f>
        <v>0.38521543903173494</v>
      </c>
    </row>
    <row r="6" spans="1:44">
      <c r="A6" s="1036">
        <v>1</v>
      </c>
      <c r="B6" s="27" t="s">
        <v>21</v>
      </c>
      <c r="C6" s="28" t="s">
        <v>106</v>
      </c>
      <c r="D6" s="39">
        <v>90</v>
      </c>
      <c r="E6" s="28">
        <v>1955</v>
      </c>
      <c r="F6" s="26">
        <v>80</v>
      </c>
      <c r="G6" s="26">
        <v>3</v>
      </c>
      <c r="H6" s="26"/>
      <c r="I6" s="26">
        <f>IF(E6&lt;=1966,'Założenia,wskaźniki, listy'!$H$4,IF(E6&gt;1966,IF(E6&lt;=1985,'Założenia,wskaźniki, listy'!$H$5,IF(E6&gt;1985,IF(E6&lt;=1992,'Założenia,wskaźniki, listy'!$H$6,IF(E6&gt;1992,IF(E6&lt;=1996,'Założenia,wskaźniki, listy'!$H$7,IF(E6&gt;1996,IF(E6&lt;=2013,'Założenia,wskaźniki, listy'!$H$8)))))))))</f>
        <v>290</v>
      </c>
      <c r="J6" s="28" t="s">
        <v>33</v>
      </c>
      <c r="K6" s="487" t="s">
        <v>8</v>
      </c>
      <c r="L6" s="44"/>
      <c r="M6" s="45"/>
      <c r="N6" s="348"/>
      <c r="O6" s="348"/>
      <c r="P6" s="616">
        <f>AQ5</f>
        <v>2211.9444282250001</v>
      </c>
      <c r="Q6" s="1027">
        <f>'Budynki komunalne - baza '!AP31-P11/3.6</f>
        <v>181.0922222222222</v>
      </c>
      <c r="R6" s="30">
        <f>P6*'Budynki komunalne - baza '!$BI$32</f>
        <v>850.95902135392896</v>
      </c>
      <c r="S6" s="30">
        <f>P6-R6</f>
        <v>1360.9854068710711</v>
      </c>
      <c r="T6" s="346">
        <f>IF(K6="węgiel",R6*'Założenia,wskaźniki, listy'!$C$44,IF(K6="gaz",R6*'Założenia,wskaźniki, listy'!$D$44,IF(K6="drewno",R6*'Założenia,wskaźniki, listy'!$E$44,IF(K6="pelet",R6*'Założenia,wskaźniki, listy'!$F$44,IF(K6="olej opałowy",R6*'Założenia,wskaźniki, listy'!$G$44,IF(K6="sieć ciepłownicza",0,IF(K6="prąd",0,0)))))))</f>
        <v>0.191465779804634</v>
      </c>
      <c r="U6" s="346">
        <f>IF(K6="węgiel",R6*'Założenia,wskaźniki, listy'!$C$45,IF(K6="gaz",R6*'Założenia,wskaźniki, listy'!$D$45,IF(K6="drewno",R6*'Założenia,wskaźniki, listy'!$E$45,IF(K6="pelet",R6*'Założenia,wskaźniki, listy'!$F$45,IF(K6="olej opałowy",R6*'Założenia,wskaźniki, listy'!$G$45,IF(K6="sieć ciepłownicza",0,IF(K6="prąd",0,0)))))))</f>
        <v>0.17104276329213972</v>
      </c>
      <c r="V6" s="346">
        <f>IF(K6="węgiel",R6*'Założenia,wskaźniki, listy'!$C$46,IF(K6="gaz",P6*'Założenia,wskaźniki, listy'!$D$46,IF(K6="drewno",R6*'Założenia,wskaźniki, listy'!$E$46,IF(K6="pelet",R6*'Założenia,wskaźniki, listy'!$F$46,IF(K6="olej opałowy",R6*'Założenia,wskaźniki, listy'!$G$46,IF(K6="sieć ciepłownicza",R6*'Założenia,wskaźniki, listy'!$H$46,IF(K6="prąd",0,0)))))))</f>
        <v>79.768898661717287</v>
      </c>
      <c r="W6" s="346">
        <f>IF(K6="węgiel",R6*'Założenia,wskaźniki, listy'!$C$47,IF(K6="gaz",R6*'Założenia,wskaźniki, listy'!$D$47,IF(K6="drewno",R6*'Założenia,wskaźniki, listy'!$E$47,IF(K6="pelet",R6*'Założenia,wskaźniki, listy'!$F$47,IF(K6="olej opałowy",R6*'Założenia,wskaźniki, listy'!$G$47,IF(K6="sieć ciepłownicza",0,IF(K6="prąd",0,0)))))))</f>
        <v>2.2975893576556081E-4</v>
      </c>
      <c r="X6" s="346">
        <f>IF(K6="węgiel",R6*'Założenia,wskaźniki, listy'!$C$48, IF(K6="gaz",R6*'Założenia,wskaźniki, listy'!$D$48,IF(K6="drewno",R6*'Założenia,wskaźniki, listy'!$E$48,IF(K6="pelet",R6*'Założenia,wskaźniki, listy'!$F$48,IF(K6="olej opałowy",R6*'Założenia,wskaźniki, listy'!$G$48,IF(K6="sieć ciepłownicza",0,IF(K6="prąd",0,0)))))))</f>
        <v>0.765863119218536</v>
      </c>
      <c r="Y6" s="346">
        <f>IF(K6="węgiel",R6*'Założenia,wskaźniki, listy'!$C$49, IF(K6="gaz",R6*'Założenia,wskaźniki, listy'!$D$49, IF(K6="drewno",R6*'Założenia,wskaźniki, listy'!$E$49,IF(K6="pelet",R6*'Założenia,wskaźniki, listy'!$F$49,IF(K6="olej opałowy",R6*'Założenia,wskaźniki, listy'!$G$49,IF(K6="sieć ciepłownicza",0,IF(K6="prąd",0,0)))))))</f>
        <v>0.13445152537392077</v>
      </c>
      <c r="Z6" s="346">
        <f>IF(K6="węgiel",R6*'Założenia,wskaźniki, listy'!$C$50,IF(K6="gaz",R6*'Założenia,wskaźniki, listy'!$D$50, IF(K6="drewno",R6*'Założenia,wskaźniki, listy'!$E$50,IF(K6="pelet",R6*'Założenia,wskaźniki, listy'!$F$50,IF(K6="pelet",R6*'Założenia,wskaźniki, listy'!$F$50,IF(K6="olej opałowy",R6*'Założenia,wskaźniki, listy'!$G$50,IF(K6="sieć ciepłownicza",0,IF(K6="prąd",0,0))))))))</f>
        <v>1.711808491771426</v>
      </c>
      <c r="AA6" s="346">
        <f>S6*'Założenia,wskaźniki, listy'!C55</f>
        <v>0.25858722730550354</v>
      </c>
      <c r="AB6" s="346">
        <f>S6*'Założenia,wskaźniki, listy'!C56</f>
        <v>0.2313675191680821</v>
      </c>
      <c r="AC6" s="346">
        <f>S6*'Założenia,wskaźniki, listy'!C57</f>
        <v>127.57877204009419</v>
      </c>
      <c r="AD6" s="346">
        <f>S6*'Założenia,wskaźniki, listy'!C58</f>
        <v>1.3609854068710709E-4</v>
      </c>
      <c r="AE6" s="346">
        <f>S6*'Założenia,wskaźniki, listy'!C59</f>
        <v>1.224886866183964</v>
      </c>
      <c r="AF6" s="346">
        <f>S6*'Założenia,wskaźniki, listy'!C60</f>
        <v>0.21775766509937139</v>
      </c>
      <c r="AG6" s="346">
        <f>S6*'Założenia,wskaźniki, listy'!C61</f>
        <v>2.7377891510593737</v>
      </c>
      <c r="AH6" s="346">
        <f>T6+AA6</f>
        <v>0.45005300711013752</v>
      </c>
      <c r="AI6" s="346">
        <f t="shared" ref="AI6:AN6" si="0">U6+AB6</f>
        <v>0.40241028246022181</v>
      </c>
      <c r="AJ6" s="346">
        <f t="shared" si="0"/>
        <v>207.34767070181147</v>
      </c>
      <c r="AK6" s="346">
        <f t="shared" si="0"/>
        <v>3.6585747645266793E-4</v>
      </c>
      <c r="AL6" s="346">
        <f t="shared" si="0"/>
        <v>1.9907499854025001</v>
      </c>
      <c r="AM6" s="346">
        <f t="shared" si="0"/>
        <v>0.35220919047329213</v>
      </c>
      <c r="AN6" s="346">
        <f t="shared" si="0"/>
        <v>4.4495976428307999</v>
      </c>
      <c r="AO6" s="347"/>
      <c r="AP6" s="352" t="s">
        <v>26</v>
      </c>
      <c r="AQ6" s="349">
        <f>'Budynki komunalne - baza '!E37</f>
        <v>0</v>
      </c>
      <c r="AR6" s="486">
        <f t="shared" ref="AR6:AR10" si="1">AQ6/$AQ$13</f>
        <v>0</v>
      </c>
    </row>
    <row r="7" spans="1:44" ht="15" customHeight="1">
      <c r="A7" s="1037"/>
      <c r="B7" s="27"/>
      <c r="C7" s="28"/>
      <c r="E7" s="28"/>
      <c r="F7" s="26"/>
      <c r="G7" s="26"/>
      <c r="H7" s="26"/>
      <c r="I7" s="26">
        <f>IF(E7&lt;=1966,'Założenia,wskaźniki, listy'!$H$4,IF(E7&gt;1966,IF(E7&lt;=1985,'Założenia,wskaźniki, listy'!$H$5,IF(E7&gt;1985,IF(E7&lt;=1992,'Założenia,wskaźniki, listy'!$H$6,IF(E7&gt;1992,IF(E7&lt;=1996,'Założenia,wskaźniki, listy'!$H$7,IF(E7&gt;1996,IF(E7&lt;=2013,'Założenia,wskaźniki, listy'!$H$8)))))))))</f>
        <v>290</v>
      </c>
      <c r="J7" s="28"/>
      <c r="K7" s="487" t="s">
        <v>26</v>
      </c>
      <c r="L7" s="44"/>
      <c r="M7" s="45"/>
      <c r="N7" s="348"/>
      <c r="O7" s="348"/>
      <c r="P7" s="616">
        <f t="shared" ref="P7:P12" si="2">AQ6</f>
        <v>0</v>
      </c>
      <c r="Q7" s="1028"/>
      <c r="R7" s="30">
        <f>P7*'Budynki komunalne - baza '!$BI$32</f>
        <v>0</v>
      </c>
      <c r="S7" s="30">
        <f t="shared" ref="S7:S11" si="3">P7-R7</f>
        <v>0</v>
      </c>
      <c r="T7" s="346">
        <f>IF(K7="węgiel",R7*'Założenia,wskaźniki, listy'!$C$44,IF(K7="gaz",R7*'Założenia,wskaźniki, listy'!$D$44,IF(K7="drewno",R7*'Założenia,wskaźniki, listy'!$E$44,IF(K7="pelet",R7*'Założenia,wskaźniki, listy'!$F$44,IF(K7="olej opałowy",R7*'Założenia,wskaźniki, listy'!$G$44,IF(K7="sieć ciepłownicza",0,IF(K7="prąd",0,0)))))))</f>
        <v>0</v>
      </c>
      <c r="U7" s="346">
        <f>IF(K7="węgiel",R7*'Założenia,wskaźniki, listy'!$C$45,IF(K7="gaz",R7*'Założenia,wskaźniki, listy'!$D$45,IF(K7="drewno",R7*'Założenia,wskaźniki, listy'!$E$45,IF(K7="pelet",R7*'Założenia,wskaźniki, listy'!$F$45,IF(K7="olej opałowy",R7*'Założenia,wskaźniki, listy'!$G$45,IF(K7="sieć ciepłownicza",0,IF(K7="prąd",0,0)))))))</f>
        <v>0</v>
      </c>
      <c r="V7" s="346">
        <f>IF(K7="węgiel",R7*'Założenia,wskaźniki, listy'!$C$46,IF(K7="gaz",P7*'Założenia,wskaźniki, listy'!$D$46,IF(K7="drewno",R7*'Założenia,wskaźniki, listy'!$E$46,IF(K7="pelet",R7*'Założenia,wskaźniki, listy'!$F$46,IF(K7="olej opałowy",R7*'Założenia,wskaźniki, listy'!$G$46,IF(K7="sieć ciepłownicza",R7*'Założenia,wskaźniki, listy'!$H$46,IF(K7="prąd",0,0)))))))</f>
        <v>0</v>
      </c>
      <c r="W7" s="346">
        <f>IF(K7="węgiel",R7*'Założenia,wskaźniki, listy'!$C$47,IF(K7="gaz",R7*'Założenia,wskaźniki, listy'!$D$47,IF(K7="drewno",R7*'Założenia,wskaźniki, listy'!$E$47,IF(K7="pelet",R7*'Założenia,wskaźniki, listy'!$F$47,IF(K7="olej opałowy",R7*'Założenia,wskaźniki, listy'!$G$47,IF(K7="sieć ciepłownicza",0,IF(K7="prąd",0,0)))))))</f>
        <v>0</v>
      </c>
      <c r="X7" s="346">
        <f>IF(K7="węgiel",R7*'Założenia,wskaźniki, listy'!$C$48, IF(K7="gaz",R7*'Założenia,wskaźniki, listy'!$D$48,IF(K7="drewno",R7*'Założenia,wskaźniki, listy'!$E$48,IF(K7="pelet",R7*'Założenia,wskaźniki, listy'!$F$48,IF(K7="olej opałowy",R7*'Założenia,wskaźniki, listy'!$G$48,IF(K7="sieć ciepłownicza",0,IF(K7="prąd",0,0)))))))</f>
        <v>0</v>
      </c>
      <c r="Y7" s="346">
        <f>IF(K7="węgiel",R7*'Założenia,wskaźniki, listy'!$C$49, IF(K7="gaz",R7*'Założenia,wskaźniki, listy'!$D$49, IF(K7="drewno",R7*'Założenia,wskaźniki, listy'!$E$49,IF(K7="pelet",R7*'Założenia,wskaźniki, listy'!$F$49,IF(K7="olej opałowy",R7*'Założenia,wskaźniki, listy'!$G$49,IF(K7="sieć ciepłownicza",0,IF(K7="prąd",0,0)))))))</f>
        <v>0</v>
      </c>
      <c r="Z7" s="346">
        <f>IF(K7="węgiel",R7*'Założenia,wskaźniki, listy'!$C$50,IF(K7="gaz",R7*'Założenia,wskaźniki, listy'!$D$50, IF(K7="drewno",R7*'Założenia,wskaźniki, listy'!$E$50,IF(K7="pelet",R7*'Założenia,wskaźniki, listy'!$F$50,IF(K7="pelet",R7*'Założenia,wskaźniki, listy'!$F$50,IF(K7="olej opałowy",R7*'Założenia,wskaźniki, listy'!$G$50,IF(K7="sieć ciepłownicza",0,IF(K7="prąd",0,0))))))))</f>
        <v>0</v>
      </c>
      <c r="AA7" s="346">
        <f>S7*'Założenia,wskaźniki, listy'!D55</f>
        <v>0</v>
      </c>
      <c r="AB7" s="346">
        <f>S7*'Założenia,wskaźniki, listy'!D56</f>
        <v>0</v>
      </c>
      <c r="AC7" s="346">
        <f>S7*'Założenia,wskaźniki, listy'!D57</f>
        <v>0</v>
      </c>
      <c r="AD7" s="346">
        <f>S7*'Założenia,wskaźniki, listy'!D58</f>
        <v>0</v>
      </c>
      <c r="AE7" s="346">
        <f>S7*'Założenia,wskaźniki, listy'!D59</f>
        <v>0</v>
      </c>
      <c r="AF7" s="346">
        <f>S7*'Założenia,wskaźniki, listy'!D60</f>
        <v>0</v>
      </c>
      <c r="AG7" s="346">
        <f>S7*'Założenia,wskaźniki, listy'!D61</f>
        <v>0</v>
      </c>
      <c r="AH7" s="346">
        <f t="shared" ref="AH7:AH12" si="4">T7+AA7</f>
        <v>0</v>
      </c>
      <c r="AI7" s="346">
        <f t="shared" ref="AI7:AI12" si="5">U7+AB7</f>
        <v>0</v>
      </c>
      <c r="AJ7" s="346">
        <f t="shared" ref="AJ7:AJ12" si="6">V7+AC7</f>
        <v>0</v>
      </c>
      <c r="AK7" s="346">
        <f t="shared" ref="AK7:AK12" si="7">W7+AD7</f>
        <v>0</v>
      </c>
      <c r="AL7" s="346">
        <f t="shared" ref="AL7:AL12" si="8">X7+AE7</f>
        <v>0</v>
      </c>
      <c r="AM7" s="346">
        <f t="shared" ref="AM7:AM12" si="9">Y7+AF7</f>
        <v>0</v>
      </c>
      <c r="AN7" s="346">
        <f t="shared" ref="AN7:AN12" si="10">Z7+AG7</f>
        <v>0</v>
      </c>
      <c r="AO7" s="347"/>
      <c r="AP7" s="352" t="s">
        <v>79</v>
      </c>
      <c r="AQ7" s="349">
        <f>'Budynki komunalne - baza '!E38</f>
        <v>109.1526013875</v>
      </c>
      <c r="AR7" s="486">
        <f t="shared" si="1"/>
        <v>1.9009187902013922E-2</v>
      </c>
    </row>
    <row r="8" spans="1:44">
      <c r="A8" s="1036">
        <v>2</v>
      </c>
      <c r="B8" s="27" t="s">
        <v>21</v>
      </c>
      <c r="C8" s="28" t="s">
        <v>107</v>
      </c>
      <c r="D8">
        <v>94</v>
      </c>
      <c r="E8" s="28">
        <v>1991</v>
      </c>
      <c r="F8" s="26">
        <v>200</v>
      </c>
      <c r="G8" s="26">
        <v>3</v>
      </c>
      <c r="H8" s="26"/>
      <c r="I8" s="26">
        <f>IF(E8&lt;=1966,'Założenia,wskaźniki, listy'!$H$4,IF(E8&gt;1966,IF(E8&lt;=1985,'Założenia,wskaźniki, listy'!$H$5,IF(E8&gt;1985,IF(E8&lt;=1992,'Założenia,wskaźniki, listy'!$H$6,IF(E8&gt;1992,IF(E8&lt;=1996,'Założenia,wskaźniki, listy'!$H$7,IF(E8&gt;1996,IF(E8&lt;=2013,'Założenia,wskaźniki, listy'!$H$8)))))))))</f>
        <v>175</v>
      </c>
      <c r="J8" s="28" t="s">
        <v>32</v>
      </c>
      <c r="K8" s="487" t="s">
        <v>79</v>
      </c>
      <c r="L8" s="44"/>
      <c r="M8" s="45"/>
      <c r="N8" s="348"/>
      <c r="O8" s="348"/>
      <c r="P8" s="616">
        <f t="shared" si="2"/>
        <v>109.1526013875</v>
      </c>
      <c r="Q8" s="1028"/>
      <c r="R8" s="30">
        <f>P8*'Budynki komunalne - baza '!$BI$32</f>
        <v>41.992190070289716</v>
      </c>
      <c r="S8" s="30">
        <f t="shared" si="3"/>
        <v>67.160411317210276</v>
      </c>
      <c r="T8" s="346">
        <f>IF(K8="węgiel",R8*'Założenia,wskaźniki, listy'!$C$44,IF(K8="gaz",R8*'Założenia,wskaźniki, listy'!$D$44,IF(K8="drewno",R8*'Założenia,wskaźniki, listy'!$E$44,IF(K8="pelet",R8*'Założenia,wskaźniki, listy'!$F$44,IF(K8="olej opałowy",R8*'Założenia,wskaźniki, listy'!$G$44,IF(K8="sieć ciepłownicza",0,IF(K8="prąd",0,0)))))))</f>
        <v>2.0156251233739063E-2</v>
      </c>
      <c r="U8" s="346">
        <f>IF(K8="węgiel",R8*'Założenia,wskaźniki, listy'!$C$45,IF(K8="gaz",R8*'Założenia,wskaźniki, listy'!$D$45,IF(K8="drewno",R8*'Założenia,wskaźniki, listy'!$E$45,IF(K8="pelet",R8*'Założenia,wskaźniki, listy'!$F$45,IF(K8="olej opałowy",R8*'Założenia,wskaźniki, listy'!$G$45,IF(K8="sieć ciepłownicza",0,IF(K8="prąd",0,0)))))))</f>
        <v>1.9736329333036165E-2</v>
      </c>
      <c r="V8" s="346">
        <f>IF(K8="węgiel",R8*'Założenia,wskaźniki, listy'!$C$46,IF(K8="gaz",P8*'Założenia,wskaźniki, listy'!$D$46,IF(K8="drewno",R8*'Założenia,wskaźniki, listy'!$E$46,IF(K8="pelet",R8*'Założenia,wskaźniki, listy'!$F$46,IF(K8="olej opałowy",R8*'Założenia,wskaźniki, listy'!$G$46,IF(K8="sieć ciepłownicza",R8*'Założenia,wskaźniki, listy'!$H$46,IF(K8="prąd",0,0)))))))</f>
        <v>0</v>
      </c>
      <c r="W8" s="346">
        <f>IF(K8="węgiel",R8*'Założenia,wskaźniki, listy'!$C$47,IF(K8="gaz",R8*'Założenia,wskaźniki, listy'!$D$47,IF(K8="drewno",R8*'Założenia,wskaźniki, listy'!$E$47,IF(K8="pelet",R8*'Założenia,wskaźniki, listy'!$F$47,IF(K8="olej opałowy",R8*'Założenia,wskaźniki, listy'!$G$47,IF(K8="sieć ciepłownicza",0,IF(K8="prąd",0,0)))))))</f>
        <v>5.0810549985050561E-6</v>
      </c>
      <c r="X8" s="346">
        <f>IF(K8="węgiel",R8*'Założenia,wskaźniki, listy'!$C$48, IF(K8="gaz",R8*'Założenia,wskaźniki, listy'!$D$48,IF(K8="drewno",R8*'Założenia,wskaźniki, listy'!$E$48,IF(K8="pelet",R8*'Założenia,wskaźniki, listy'!$F$48,IF(K8="olej opałowy",R8*'Założenia,wskaźniki, listy'!$G$48,IF(K8="sieć ciepłownicza",0,IF(K8="prąd",0,0)))))))</f>
        <v>4.6191409077318688E-4</v>
      </c>
      <c r="Y8" s="346">
        <f>IF(K8="węgiel",R8*'Założenia,wskaźniki, listy'!$C$49, IF(K8="gaz",R8*'Założenia,wskaźniki, listy'!$D$49, IF(K8="drewno",R8*'Założenia,wskaźniki, listy'!$E$49,IF(K8="pelet",R8*'Założenia,wskaźniki, listy'!$F$49,IF(K8="olej opałowy",R8*'Założenia,wskaźniki, listy'!$G$49,IF(K8="sieć ciepłownicza",0,IF(K8="prąd",0,0)))))))</f>
        <v>3.3593752056231777E-3</v>
      </c>
      <c r="Z8" s="346">
        <f>IF(K8="węgiel",R8*'Założenia,wskaźniki, listy'!$C$50,IF(K8="gaz",R8*'Założenia,wskaźniki, listy'!$D$50, IF(K8="drewno",R8*'Założenia,wskaźniki, listy'!$E$50,IF(K8="pelet",R8*'Założenia,wskaźniki, listy'!$F$50,IF(K8="pelet",R8*'Założenia,wskaźniki, listy'!$F$50,IF(K8="olej opałowy",R8*'Założenia,wskaźniki, listy'!$G$50,IF(K8="sieć ciepłownicza",0,IF(K8="prąd",0,0))))))))</f>
        <v>7.5333988986099748E-3</v>
      </c>
      <c r="AA8" s="346">
        <f>S8*'Założenia,wskaźniki, listy'!E55</f>
        <v>5.1041912601079813E-3</v>
      </c>
      <c r="AB8" s="346">
        <f>S8*'Założenia,wskaźniki, listy'!E56</f>
        <v>5.1041912601079813E-3</v>
      </c>
      <c r="AC8" s="346">
        <f>S8*'Założenia,wskaźniki, listy'!E57</f>
        <v>0</v>
      </c>
      <c r="AD8" s="346">
        <f>S8*'Założenia,wskaźniki, listy'!E58</f>
        <v>3.3580205658605137E-6</v>
      </c>
      <c r="AE8" s="346">
        <f>S8*'Założenia,wskaźniki, listy'!E59</f>
        <v>1.3432082263442056E-3</v>
      </c>
      <c r="AF8" s="346">
        <f>S8*'Założenia,wskaźniki, listy'!E60</f>
        <v>5.3728329053768223E-3</v>
      </c>
      <c r="AG8" s="346">
        <f>S8*'Założenia,wskaźniki, listy'!E60</f>
        <v>5.3728329053768223E-3</v>
      </c>
      <c r="AH8" s="346">
        <f t="shared" si="4"/>
        <v>2.5260442493847044E-2</v>
      </c>
      <c r="AI8" s="346">
        <f t="shared" si="5"/>
        <v>2.4840520593144146E-2</v>
      </c>
      <c r="AJ8" s="346">
        <f t="shared" si="6"/>
        <v>0</v>
      </c>
      <c r="AK8" s="346">
        <f t="shared" si="7"/>
        <v>8.4390755643655694E-6</v>
      </c>
      <c r="AL8" s="346">
        <f t="shared" si="8"/>
        <v>1.8051223171173924E-3</v>
      </c>
      <c r="AM8" s="346">
        <f t="shared" si="9"/>
        <v>8.7322081109999991E-3</v>
      </c>
      <c r="AN8" s="346">
        <f t="shared" si="10"/>
        <v>1.2906231803986798E-2</v>
      </c>
      <c r="AO8" s="347"/>
      <c r="AP8" s="352" t="s">
        <v>27</v>
      </c>
      <c r="AQ8" s="349">
        <f>'Budynki komunalne - baza '!E39</f>
        <v>3420</v>
      </c>
      <c r="AR8" s="486">
        <f t="shared" si="1"/>
        <v>0.59560122066254872</v>
      </c>
    </row>
    <row r="9" spans="1:44">
      <c r="A9" s="1037"/>
      <c r="B9" s="27"/>
      <c r="C9" s="28"/>
      <c r="E9" s="28"/>
      <c r="F9" s="26"/>
      <c r="G9" s="26"/>
      <c r="H9" s="26"/>
      <c r="I9" s="26">
        <f>IF(E9&lt;=1966,'Założenia,wskaźniki, listy'!$H$4,IF(E9&gt;1966,IF(E9&lt;=1985,'Założenia,wskaźniki, listy'!$H$5,IF(E9&gt;1985,IF(E9&lt;=1992,'Założenia,wskaźniki, listy'!$H$6,IF(E9&gt;1992,IF(E9&lt;=1996,'Założenia,wskaźniki, listy'!$H$7,IF(E9&gt;1996,IF(E9&lt;=2013,'Założenia,wskaźniki, listy'!$H$8)))))))))</f>
        <v>290</v>
      </c>
      <c r="J9" s="28"/>
      <c r="K9" s="487" t="s">
        <v>27</v>
      </c>
      <c r="L9" s="44"/>
      <c r="M9" s="45"/>
      <c r="N9" s="348"/>
      <c r="O9" s="348"/>
      <c r="P9" s="616">
        <f t="shared" si="2"/>
        <v>3420</v>
      </c>
      <c r="Q9" s="1028"/>
      <c r="R9" s="30">
        <f>P9*'Budynki komunalne - baza '!$BI$32</f>
        <v>1315.711107338182</v>
      </c>
      <c r="S9" s="30">
        <f t="shared" si="3"/>
        <v>2104.288892661818</v>
      </c>
      <c r="T9" s="346">
        <f>IF(K9="węgiel",R9*'Założenia,wskaźniki, listy'!$C$44,IF(K9="gaz",R9*'Założenia,wskaźniki, listy'!$D$44,IF(K9="drewno",R9*'Założenia,wskaźniki, listy'!$E$44,IF(K9="pelet",R9*'Założenia,wskaźniki, listy'!$F$44,IF(K9="olej opałowy",R9*'Założenia,wskaźniki, listy'!$G$44,IF(K9="sieć ciepłownicza",0,IF(K9="prąd",0,0)))))))</f>
        <v>0.63154133152232739</v>
      </c>
      <c r="U9" s="346">
        <f>IF(K9="węgiel",R9*'Założenia,wskaźniki, listy'!$C$45,IF(K9="gaz",R9*'Założenia,wskaźniki, listy'!$D$45,IF(K9="drewno",R9*'Założenia,wskaźniki, listy'!$E$45,IF(K9="pelet",R9*'Założenia,wskaźniki, listy'!$F$45,IF(K9="olej opałowy",R9*'Założenia,wskaźniki, listy'!$G$45,IF(K9="sieć ciepłownicza",0,IF(K9="prąd",0,0)))))))</f>
        <v>0.61838422044894559</v>
      </c>
      <c r="V9" s="346">
        <f>IF(K9="węgiel",R9*'Założenia,wskaźniki, listy'!$C$46,IF(K9="gaz",P9*'Założenia,wskaźniki, listy'!$D$46,IF(K9="drewno",R9*'Założenia,wskaźniki, listy'!$E$46,IF(K9="pelet",R9*'Założenia,wskaźniki, listy'!$F$46,IF(K9="olej opałowy",R9*'Założenia,wskaźniki, listy'!$G$46,IF(K9="sieć ciepłownicza",R9*'Założenia,wskaźniki, listy'!$H$46,IF(K9="prąd",0,0)))))))</f>
        <v>0</v>
      </c>
      <c r="W9" s="346">
        <f>IF(K9="węgiel",R9*'Założenia,wskaźniki, listy'!$C$47,IF(K9="gaz",R9*'Założenia,wskaźniki, listy'!$D$47,IF(K9="drewno",R9*'Założenia,wskaźniki, listy'!$E$47,IF(K9="pelet",R9*'Założenia,wskaźniki, listy'!$F$47,IF(K9="olej opałowy",R9*'Założenia,wskaźniki, listy'!$G$47,IF(K9="sieć ciepłownicza",0,IF(K9="prąd",0,0)))))))</f>
        <v>1.5920104398792003E-4</v>
      </c>
      <c r="X9" s="346">
        <f>IF(K9="węgiel",R9*'Założenia,wskaźniki, listy'!$C$48, IF(K9="gaz",R9*'Założenia,wskaźniki, listy'!$D$48,IF(K9="drewno",R9*'Założenia,wskaźniki, listy'!$E$48,IF(K9="pelet",R9*'Założenia,wskaźniki, listy'!$F$48,IF(K9="olej opałowy",R9*'Założenia,wskaźniki, listy'!$G$48,IF(K9="sieć ciepłownicza",0,IF(K9="prąd",0,0)))))))</f>
        <v>1.4472822180720003E-2</v>
      </c>
      <c r="Y9" s="346">
        <f>IF(K9="węgiel",R9*'Założenia,wskaźniki, listy'!$C$49, IF(K9="gaz",R9*'Założenia,wskaźniki, listy'!$D$49, IF(K9="drewno",R9*'Założenia,wskaźniki, listy'!$E$49,IF(K9="pelet",R9*'Założenia,wskaźniki, listy'!$F$49,IF(K9="olej opałowy",R9*'Założenia,wskaźniki, listy'!$G$49,IF(K9="sieć ciepłownicza",0,IF(K9="prąd",0,0)))))))</f>
        <v>0.10525688858705458</v>
      </c>
      <c r="Z9" s="346">
        <f>IF(K9="węgiel",R9*'Założenia,wskaźniki, listy'!$C$50,IF(K9="gaz",R9*'Założenia,wskaźniki, listy'!$D$50, IF(K9="drewno",R9*'Założenia,wskaźniki, listy'!$E$50,IF(K9="pelet",R9*'Założenia,wskaźniki, listy'!$F$50,IF(K9="pelet",R9*'Założenia,wskaźniki, listy'!$F$50,IF(K9="olej opałowy",R9*'Założenia,wskaźniki, listy'!$G$50,IF(K9="sieć ciepłownicza",0,IF(K9="prąd",0,0))))))))</f>
        <v>0.23603857265646985</v>
      </c>
      <c r="AA9" s="346">
        <f>S9*'Założenia,wskaźniki, listy'!E55</f>
        <v>0.15992595584229818</v>
      </c>
      <c r="AB9" s="346">
        <f>S9*'Założenia,wskaźniki, listy'!E56</f>
        <v>0.15992595584229818</v>
      </c>
      <c r="AC9" s="346">
        <f>S9*'Założenia,wskaźniki, listy'!E57</f>
        <v>0</v>
      </c>
      <c r="AD9" s="346">
        <f>S9*'Założenia,wskaźniki, listy'!E58</f>
        <v>1.052144446330909E-4</v>
      </c>
      <c r="AE9" s="346">
        <f>S9*'Założenia,wskaźniki, listy'!E59</f>
        <v>4.2085777853236361E-2</v>
      </c>
      <c r="AF9" s="346">
        <f>S9*'Założenia,wskaźniki, listy'!E60</f>
        <v>0.16834311141294545</v>
      </c>
      <c r="AG9" s="346">
        <f>S9*'Założenia,wskaźniki, listy'!E60</f>
        <v>0.16834311141294545</v>
      </c>
      <c r="AH9" s="346">
        <f t="shared" si="4"/>
        <v>0.79146728736462557</v>
      </c>
      <c r="AI9" s="346">
        <f t="shared" si="5"/>
        <v>0.77831017629124377</v>
      </c>
      <c r="AJ9" s="346">
        <f t="shared" si="6"/>
        <v>0</v>
      </c>
      <c r="AK9" s="346">
        <f t="shared" si="7"/>
        <v>2.6441548862101094E-4</v>
      </c>
      <c r="AL9" s="346">
        <f t="shared" si="8"/>
        <v>5.6558600033956366E-2</v>
      </c>
      <c r="AM9" s="346">
        <f t="shared" si="9"/>
        <v>0.27360000000000001</v>
      </c>
      <c r="AN9" s="346">
        <f t="shared" si="10"/>
        <v>0.40438168406941533</v>
      </c>
      <c r="AO9" s="347"/>
      <c r="AP9" s="352" t="s">
        <v>7</v>
      </c>
      <c r="AQ9" s="349">
        <f>'Budynki komunalne - baza '!E40</f>
        <v>0</v>
      </c>
      <c r="AR9" s="486">
        <f t="shared" si="1"/>
        <v>0</v>
      </c>
    </row>
    <row r="10" spans="1:44">
      <c r="A10" s="1036">
        <v>3</v>
      </c>
      <c r="B10" s="27" t="s">
        <v>21</v>
      </c>
      <c r="C10" s="1038" t="s">
        <v>108</v>
      </c>
      <c r="D10">
        <v>21</v>
      </c>
      <c r="E10" s="28">
        <v>1960</v>
      </c>
      <c r="F10" s="26">
        <v>97</v>
      </c>
      <c r="G10" s="26">
        <v>3</v>
      </c>
      <c r="H10" s="26"/>
      <c r="I10" s="26">
        <f>IF(E10&lt;=1966,'Założenia,wskaźniki, listy'!$H$4,IF(E10&gt;1966,IF(E10&lt;=1985,'Założenia,wskaźniki, listy'!$H$5,IF(E10&gt;1985,IF(E10&lt;=1992,'Założenia,wskaźniki, listy'!$H$6,IF(E10&gt;1992,IF(E10&lt;=1996,'Założenia,wskaźniki, listy'!$H$7,IF(E10&gt;1996,IF(E10&lt;=2013,'Założenia,wskaźniki, listy'!$H$8)))))))))</f>
        <v>290</v>
      </c>
      <c r="J10" s="28" t="s">
        <v>32</v>
      </c>
      <c r="K10" s="487" t="s">
        <v>7</v>
      </c>
      <c r="L10" s="44"/>
      <c r="M10" s="45"/>
      <c r="N10" s="348"/>
      <c r="O10" s="348"/>
      <c r="P10" s="616">
        <f t="shared" si="2"/>
        <v>0</v>
      </c>
      <c r="Q10" s="1028"/>
      <c r="R10" s="30">
        <f>P10*'Budynki komunalne - baza '!$BI$32</f>
        <v>0</v>
      </c>
      <c r="S10" s="30">
        <f t="shared" si="3"/>
        <v>0</v>
      </c>
      <c r="T10" s="346">
        <f>IF(K10="węgiel",R10*'Założenia,wskaźniki, listy'!$C$44,IF(K10="gaz",R10*'Założenia,wskaźniki, listy'!$D$44,IF(K10="drewno",R10*'Założenia,wskaźniki, listy'!$E$44,IF(K10="pelet",R10*'Założenia,wskaźniki, listy'!$F$44,IF(K10="olej opałowy",R10*'Założenia,wskaźniki, listy'!$G$44,IF(K10="sieć ciepłownicza",0,IF(K10="prąd",0,0)))))))</f>
        <v>0</v>
      </c>
      <c r="U10" s="346">
        <f>IF(K10="węgiel",R10*'Założenia,wskaźniki, listy'!$C$45,IF(K10="gaz",R10*'Założenia,wskaźniki, listy'!$D$45,IF(K10="drewno",R10*'Założenia,wskaźniki, listy'!$E$45,IF(K10="pelet",R10*'Założenia,wskaźniki, listy'!$F$45,IF(K10="olej opałowy",R10*'Założenia,wskaźniki, listy'!$G$45,IF(K10="sieć ciepłownicza",0,IF(K10="prąd",0,0)))))))</f>
        <v>0</v>
      </c>
      <c r="V10" s="346">
        <f>IF(K10="węgiel",R10*'Założenia,wskaźniki, listy'!$C$46,IF(K10="gaz",P10*'Założenia,wskaźniki, listy'!$D$46,IF(K10="drewno",R10*'Założenia,wskaźniki, listy'!$E$46,IF(K10="pelet",R10*'Założenia,wskaźniki, listy'!$F$46,IF(K10="olej opałowy",R10*'Założenia,wskaźniki, listy'!$G$46,IF(K10="sieć ciepłownicza",R10*'Założenia,wskaźniki, listy'!$H$46,IF(K10="prąd",0,0)))))))</f>
        <v>0</v>
      </c>
      <c r="W10" s="346">
        <f>IF(K10="węgiel",R10*'Założenia,wskaźniki, listy'!$C$47,IF(K10="gaz",R10*'Założenia,wskaźniki, listy'!$D$47,IF(K10="drewno",R10*'Założenia,wskaźniki, listy'!$E$47,IF(K10="pelet",R10*'Założenia,wskaźniki, listy'!$F$47,IF(K10="olej opałowy",R10*'Założenia,wskaźniki, listy'!$G$47,IF(K10="sieć ciepłownicza",0,IF(K10="prąd",0,0)))))))</f>
        <v>0</v>
      </c>
      <c r="X10" s="346">
        <f>IF(K10="węgiel",R10*'Założenia,wskaźniki, listy'!$C$48, IF(K10="gaz",R10*'Założenia,wskaźniki, listy'!$D$48,IF(K10="drewno",R10*'Założenia,wskaźniki, listy'!$E$48,IF(K10="pelet",R10*'Założenia,wskaźniki, listy'!$F$48,IF(K10="olej opałowy",R10*'Założenia,wskaźniki, listy'!$G$48,IF(K10="sieć ciepłownicza",0,IF(K10="prąd",0,0)))))))</f>
        <v>0</v>
      </c>
      <c r="Y10" s="346">
        <f>IF(K10="węgiel",R10*'Założenia,wskaźniki, listy'!$C$49, IF(K10="gaz",R10*'Założenia,wskaźniki, listy'!$D$49, IF(K10="drewno",R10*'Założenia,wskaźniki, listy'!$E$49,IF(K10="pelet",R10*'Założenia,wskaźniki, listy'!$F$49,IF(K10="olej opałowy",R10*'Założenia,wskaźniki, listy'!$G$49,IF(K10="sieć ciepłownicza",0,IF(K10="prąd",0,0)))))))</f>
        <v>0</v>
      </c>
      <c r="Z10" s="346">
        <f>IF(K10="węgiel",R10*'Założenia,wskaźniki, listy'!$C$50,IF(K10="gaz",R10*'Założenia,wskaźniki, listy'!$D$50, IF(K10="drewno",R10*'Założenia,wskaźniki, listy'!$E$50,IF(K10="pelet",R10*'Założenia,wskaźniki, listy'!$F$50,IF(K10="pelet",R10*'Założenia,wskaźniki, listy'!$F$50,IF(K10="olej opałowy",R10*'Założenia,wskaźniki, listy'!$G$50,IF(K10="sieć ciepłownicza",0,IF(K10="prąd",0,0))))))))</f>
        <v>0</v>
      </c>
      <c r="AA10" s="346">
        <f>S10*'Założenia,wskaźniki, listy'!G55</f>
        <v>0</v>
      </c>
      <c r="AB10" s="346">
        <f>S10*'Założenia,wskaźniki, listy'!G56</f>
        <v>0</v>
      </c>
      <c r="AC10" s="346">
        <f>S10*'Założenia,wskaźniki, listy'!G57</f>
        <v>0</v>
      </c>
      <c r="AD10" s="346">
        <f>S10*'Założenia,wskaźniki, listy'!G58</f>
        <v>0</v>
      </c>
      <c r="AE10" s="346">
        <f>S10*'Założenia,wskaźniki, listy'!G59</f>
        <v>0</v>
      </c>
      <c r="AF10" s="346">
        <f>S10*'Założenia,wskaźniki, listy'!G60</f>
        <v>0</v>
      </c>
      <c r="AG10" s="346">
        <f>S10*'Założenia,wskaźniki, listy'!G60</f>
        <v>0</v>
      </c>
      <c r="AH10" s="346">
        <f t="shared" si="4"/>
        <v>0</v>
      </c>
      <c r="AI10" s="346">
        <f t="shared" si="5"/>
        <v>0</v>
      </c>
      <c r="AJ10" s="346">
        <f t="shared" si="6"/>
        <v>0</v>
      </c>
      <c r="AK10" s="346">
        <f t="shared" si="7"/>
        <v>0</v>
      </c>
      <c r="AL10" s="346">
        <f t="shared" si="8"/>
        <v>0</v>
      </c>
      <c r="AM10" s="346">
        <f t="shared" si="9"/>
        <v>0</v>
      </c>
      <c r="AN10" s="346">
        <f t="shared" si="10"/>
        <v>0</v>
      </c>
      <c r="AO10" s="347"/>
      <c r="AP10" s="352" t="s">
        <v>9</v>
      </c>
      <c r="AQ10" s="349">
        <f>'Budynki komunalne - baza '!E41</f>
        <v>1</v>
      </c>
      <c r="AR10" s="895">
        <f t="shared" si="1"/>
        <v>1.7415240370249963E-4</v>
      </c>
    </row>
    <row r="11" spans="1:44" ht="26.4">
      <c r="A11" s="1037"/>
      <c r="B11" s="27"/>
      <c r="C11" s="1039"/>
      <c r="E11" s="28"/>
      <c r="F11" s="26"/>
      <c r="G11" s="26"/>
      <c r="H11" s="26"/>
      <c r="I11" s="26">
        <f>IF(E11&lt;=1966,'Założenia,wskaźniki, listy'!$H$4,IF(E11&gt;1966,IF(E11&lt;=1985,'Założenia,wskaźniki, listy'!$H$5,IF(E11&gt;1985,IF(E11&lt;=1992,'Założenia,wskaźniki, listy'!$H$6,IF(E11&gt;1992,IF(E11&lt;=1996,'Założenia,wskaźniki, listy'!$H$7,IF(E11&gt;1996,IF(E11&lt;=2013,'Założenia,wskaźniki, listy'!$H$8)))))))))</f>
        <v>290</v>
      </c>
      <c r="J11" s="28"/>
      <c r="K11" s="487" t="s">
        <v>313</v>
      </c>
      <c r="L11" s="44"/>
      <c r="M11" s="45"/>
      <c r="N11" s="348"/>
      <c r="O11" s="348"/>
      <c r="P11" s="616">
        <f t="shared" si="2"/>
        <v>1</v>
      </c>
      <c r="Q11" s="1028"/>
      <c r="R11" s="30">
        <f>P11*'Budynki komunalne - baza '!$BI$32</f>
        <v>0.38471085009888367</v>
      </c>
      <c r="S11" s="30">
        <f t="shared" si="3"/>
        <v>0.61528914990111638</v>
      </c>
      <c r="T11" s="346">
        <f>IF(K11="węgiel",R11*'Założenia,wskaźniki, listy'!$C$44,IF(K11="gaz",R11*'Założenia,wskaźniki, listy'!$D$44,IF(K11="drewno",R11*'Założenia,wskaźniki, listy'!$E$44,IF(K11="pelet",R11*'Założenia,wskaźniki, listy'!$F$44,IF(K11="olej opałowy",R11*'Założenia,wskaźniki, listy'!$G$44,IF(K11="sieć ciepłownicza",0,IF(K11="prąd",0,0)))))))</f>
        <v>0</v>
      </c>
      <c r="U11" s="346">
        <f>IF(K11="węgiel",R11*'Założenia,wskaźniki, listy'!$C$45,IF(K11="gaz",R11*'Założenia,wskaźniki, listy'!$D$45,IF(K11="drewno",R11*'Założenia,wskaźniki, listy'!$E$45,IF(K11="pelet",R11*'Założenia,wskaźniki, listy'!$F$45,IF(K11="olej opałowy",R11*'Założenia,wskaźniki, listy'!$G$45,IF(K11="sieć ciepłownicza",0,IF(K11="prąd",0,0)))))))</f>
        <v>0</v>
      </c>
      <c r="V11" s="346">
        <f>IF(K11="węgiel",R11*'Założenia,wskaźniki, listy'!$C$46,IF(K11="gaz",P11*'Założenia,wskaźniki, listy'!$D$46,IF(K11="drewno",R11*'Założenia,wskaźniki, listy'!$E$46,IF(K11="pelet",R11*'Założenia,wskaźniki, listy'!$F$46,IF(K11="olej opałowy",R11*'Założenia,wskaźniki, listy'!$G$46,IF(K11="sieć ciepłownicza",R11*'Założenia,wskaźniki, listy'!$H$46,IF(K11="prąd",0,0)))))))</f>
        <v>0</v>
      </c>
      <c r="W11" s="346">
        <f>IF(K11="węgiel",R11*'Założenia,wskaźniki, listy'!$C$47,IF(K11="gaz",R11*'Założenia,wskaźniki, listy'!$D$47,IF(K11="drewno",R11*'Założenia,wskaźniki, listy'!$E$47,IF(K11="pelet",R11*'Założenia,wskaźniki, listy'!$F$47,IF(K11="olej opałowy",R11*'Założenia,wskaźniki, listy'!$G$47,IF(K11="sieć ciepłownicza",0,IF(K11="prąd",0,0)))))))</f>
        <v>0</v>
      </c>
      <c r="X11" s="346">
        <f>IF(K11="węgiel",R11*'Założenia,wskaźniki, listy'!$C$48, IF(K11="gaz",R11*'Założenia,wskaźniki, listy'!$D$48,IF(K11="drewno",R11*'Założenia,wskaźniki, listy'!$E$48,IF(K11="pelet",R11*'Założenia,wskaźniki, listy'!$F$48,IF(K11="olej opałowy",R11*'Założenia,wskaźniki, listy'!$G$48,IF(K11="sieć ciepłownicza",0,IF(K11="prąd",0,0)))))))</f>
        <v>0</v>
      </c>
      <c r="Y11" s="346">
        <f>IF(K11="węgiel",R11*'Założenia,wskaźniki, listy'!$C$49, IF(K11="gaz",R11*'Założenia,wskaźniki, listy'!$D$49, IF(K11="drewno",R11*'Założenia,wskaźniki, listy'!$E$49,IF(K11="pelet",R11*'Założenia,wskaźniki, listy'!$F$49,IF(K11="olej opałowy",R11*'Założenia,wskaźniki, listy'!$G$49,IF(K11="sieć ciepłownicza",0,IF(K11="prąd",0,0)))))))</f>
        <v>0</v>
      </c>
      <c r="Z11" s="346">
        <f>IF(K11="węgiel",R11*'Założenia,wskaźniki, listy'!$C$50,IF(K11="gaz",R11*'Założenia,wskaźniki, listy'!$D$50, IF(K11="drewno",R11*'Założenia,wskaźniki, listy'!$E$50,IF(K11="pelet",R11*'Założenia,wskaźniki, listy'!$F$50,IF(K11="pelet",R11*'Założenia,wskaźniki, listy'!$F$50,IF(K11="olej opałowy",R11*'Założenia,wskaźniki, listy'!$G$50,IF(K11="sieć ciepłownicza",0,IF(K11="prąd",0,0))))))))</f>
        <v>0</v>
      </c>
      <c r="AA11" s="346">
        <v>0</v>
      </c>
      <c r="AB11" s="346">
        <v>0</v>
      </c>
      <c r="AC11" s="346">
        <v>0</v>
      </c>
      <c r="AD11" s="346">
        <v>0</v>
      </c>
      <c r="AE11" s="346">
        <v>0</v>
      </c>
      <c r="AF11" s="346">
        <v>0</v>
      </c>
      <c r="AG11" s="346">
        <v>0</v>
      </c>
      <c r="AH11" s="346">
        <f t="shared" si="4"/>
        <v>0</v>
      </c>
      <c r="AI11" s="346">
        <f t="shared" si="5"/>
        <v>0</v>
      </c>
      <c r="AJ11" s="346">
        <f>(P11/3.6+Q6)*'Założenia,wskaźniki, listy'!J46</f>
        <v>150.80915499999998</v>
      </c>
      <c r="AK11" s="346">
        <f t="shared" si="7"/>
        <v>0</v>
      </c>
      <c r="AL11" s="346">
        <f t="shared" si="8"/>
        <v>0</v>
      </c>
      <c r="AM11" s="346">
        <f t="shared" si="9"/>
        <v>0</v>
      </c>
      <c r="AN11" s="346">
        <f t="shared" si="10"/>
        <v>0</v>
      </c>
      <c r="AO11" s="347"/>
      <c r="AP11" s="353" t="s">
        <v>392</v>
      </c>
      <c r="AQ11" s="349">
        <f>'Budynki komunalne - baza '!E42</f>
        <v>0</v>
      </c>
      <c r="AR11" s="486">
        <f>AQ11/$AQ$13</f>
        <v>0</v>
      </c>
    </row>
    <row r="12" spans="1:44" ht="27.6">
      <c r="A12" s="92">
        <v>4</v>
      </c>
      <c r="B12" s="27" t="s">
        <v>21</v>
      </c>
      <c r="C12" s="94" t="s">
        <v>108</v>
      </c>
      <c r="D12">
        <v>23</v>
      </c>
      <c r="E12" s="28">
        <v>1920</v>
      </c>
      <c r="F12" s="26">
        <v>100</v>
      </c>
      <c r="G12" s="26">
        <v>3</v>
      </c>
      <c r="H12" s="26"/>
      <c r="I12" s="26">
        <f>IF(E12&lt;=1966,'Założenia,wskaźniki, listy'!$H$4,IF(E12&gt;1966,IF(E12&lt;=1985,'Założenia,wskaźniki, listy'!$H$5,IF(E12&gt;1985,IF(E12&lt;=1992,'Założenia,wskaźniki, listy'!$H$6,IF(E12&gt;1992,IF(E12&lt;=1996,'Założenia,wskaźniki, listy'!$H$7,IF(E12&gt;1996,IF(E12&lt;=2013,'Założenia,wskaźniki, listy'!$H$8)))))))))</f>
        <v>290</v>
      </c>
      <c r="J12" s="28" t="s">
        <v>33</v>
      </c>
      <c r="K12" s="488" t="str">
        <f>AP11</f>
        <v>OŹE (kolektory słoneczne)</v>
      </c>
      <c r="L12" s="44"/>
      <c r="M12" s="45"/>
      <c r="N12" s="348"/>
      <c r="O12" s="348"/>
      <c r="P12" s="616">
        <f t="shared" si="2"/>
        <v>0</v>
      </c>
      <c r="Q12" s="1028"/>
      <c r="R12" s="30"/>
      <c r="S12" s="30"/>
      <c r="T12" s="346">
        <f>IF(K12="węgiel",P12*'Założenia,wskaźniki, listy'!$C$44,IF(K12="gaz",P12*'Założenia,wskaźniki, listy'!$D$44,IF(K12="drewno",P12*'Założenia,wskaźniki, listy'!$E$44,IF(K12="pelet",P12*'Założenia,wskaźniki, listy'!$F$44,IF(K12="olej opałowy",P12*'Założenia,wskaźniki, listy'!$G$44,IF(K12="sieć ciepłownicza",0,IF(K12="prąd",0,0)))))))</f>
        <v>0</v>
      </c>
      <c r="U12" s="346">
        <f>IF(K12="węgiel",P12*'Założenia,wskaźniki, listy'!$C$45,IF(K12="gaz",P12*'Założenia,wskaźniki, listy'!$D$45,IF(K12="drewno",P12*'Założenia,wskaźniki, listy'!$E$45,IF(K12="pelet",P12*'Założenia,wskaźniki, listy'!$F$45,IF(K12="olej opałowy",P12*'Założenia,wskaźniki, listy'!$G$45,IF(K12="sieć ciepłownicza",0,IF(K12="prąd",0,0)))))))</f>
        <v>0</v>
      </c>
      <c r="V12" s="346">
        <f>IF(K12="węgiel",P12*'Założenia,wskaźniki, listy'!$C$46,IF(K12="gaz",P12*'Założenia,wskaźniki, listy'!$D$46,IF(K12="drewno",P12*'Założenia,wskaźniki, listy'!$E$46,IF(K12="pelet",P12*'Założenia,wskaźniki, listy'!$F$46,IF(K12="olej opałowy",P12*'Założenia,wskaźniki, listy'!$G$46,IF(K12="sieć ciepłownicza",P12*'Założenia,wskaźniki, listy'!$H$46,IF(K12="prąd",0,0)))))))</f>
        <v>0</v>
      </c>
      <c r="W12" s="346">
        <f>IF(K12="węgiel",P12*'Założenia,wskaźniki, listy'!$C$47,IF(K12="gaz",P12*'Założenia,wskaźniki, listy'!$D$47,IF(K12="drewno",P12*'Założenia,wskaźniki, listy'!$E$47,IF(K12="pelet",P12*'Założenia,wskaźniki, listy'!$F$47,IF(K12="olej opałowy",P12*'Założenia,wskaźniki, listy'!$G$47,IF(K12="sieć ciepłownicza",0,IF(K12="prąd",0,0)))))))</f>
        <v>0</v>
      </c>
      <c r="X12" s="346">
        <f>IF(K12="węgiel",P12*'Założenia,wskaźniki, listy'!$C$48, IF(K12="gaz",P12*'Założenia,wskaźniki, listy'!$D$48,IF(K12="drewno",P12*'Założenia,wskaźniki, listy'!$E$48,IF(K12="pelet",P12*'Założenia,wskaźniki, listy'!$F$48,IF(K12="olej opałowy",P12*'Założenia,wskaźniki, listy'!$G$48,IF(K12="sieć ciepłownicza",0,IF(K12="prąd",0,0)))))))</f>
        <v>0</v>
      </c>
      <c r="Y12" s="346">
        <f>IF(K12="węgiel",P12*'Założenia,wskaźniki, listy'!$C$49, IF(K12="gaz",P12*'Założenia,wskaźniki, listy'!$D$49, IF(K12="drewno",P12*'Założenia,wskaźniki, listy'!$E$49,IF(K12="pelet",P12*'Założenia,wskaźniki, listy'!$F$49,IF(K12="olej opałowy",P12*'Założenia,wskaźniki, listy'!$G$49,IF(K12="sieć ciepłownicza",0,IF(K12="prąd",0,0)))))))</f>
        <v>0</v>
      </c>
      <c r="Z12" s="346">
        <f>IF(K12="węgiel",P12*'Założenia,wskaźniki, listy'!$C$50,IF(K12="gaz",P12*'Założenia,wskaźniki, listy'!$D$50, IF(K12="drewno",P12*'Założenia,wskaźniki, listy'!$E$50,IF(K12="pelet",P12*'Założenia,wskaźniki, listy'!$F$50,IF(K12="pelet",P12*'Założenia,wskaźniki, listy'!$F$50,IF(K12="olej opałowy",P12*'Założenia,wskaźniki, listy'!$G$50,IF(K12="sieć ciepłownicza",0,IF(K12="prąd",0,0))))))))</f>
        <v>0</v>
      </c>
      <c r="AA12" s="346">
        <v>0</v>
      </c>
      <c r="AB12" s="346">
        <v>0</v>
      </c>
      <c r="AC12" s="346">
        <v>0</v>
      </c>
      <c r="AD12" s="346">
        <v>0</v>
      </c>
      <c r="AE12" s="346">
        <v>0</v>
      </c>
      <c r="AF12" s="346">
        <v>0</v>
      </c>
      <c r="AG12" s="346">
        <v>0</v>
      </c>
      <c r="AH12" s="346">
        <f t="shared" si="4"/>
        <v>0</v>
      </c>
      <c r="AI12" s="346">
        <f t="shared" si="5"/>
        <v>0</v>
      </c>
      <c r="AJ12" s="346">
        <f t="shared" si="6"/>
        <v>0</v>
      </c>
      <c r="AK12" s="346">
        <f t="shared" si="7"/>
        <v>0</v>
      </c>
      <c r="AL12" s="346">
        <f t="shared" si="8"/>
        <v>0</v>
      </c>
      <c r="AM12" s="346">
        <f t="shared" si="9"/>
        <v>0</v>
      </c>
      <c r="AN12" s="346">
        <f t="shared" si="10"/>
        <v>0</v>
      </c>
      <c r="AO12" s="347"/>
      <c r="AP12" s="353" t="s">
        <v>315</v>
      </c>
      <c r="AQ12" s="349">
        <f>'Budynki komunalne - baza '!E43</f>
        <v>0</v>
      </c>
      <c r="AR12" s="486">
        <f>AQ12/$AQ$13</f>
        <v>0</v>
      </c>
    </row>
    <row r="13" spans="1:44">
      <c r="G13" s="27" t="s">
        <v>31</v>
      </c>
      <c r="H13" s="46" t="e">
        <f>J13/$J$14</f>
        <v>#DIV/0!</v>
      </c>
      <c r="I13" s="27" t="s">
        <v>121</v>
      </c>
      <c r="J13" s="44">
        <f>COUNTIF(J6:J12,"brak")</f>
        <v>0</v>
      </c>
      <c r="K13" s="350" t="str">
        <f>AP12</f>
        <v>OŹE (pompy ciepła)</v>
      </c>
      <c r="P13" s="616">
        <f>AQ12</f>
        <v>0</v>
      </c>
      <c r="Q13" s="1029"/>
      <c r="R13" s="30"/>
      <c r="S13" s="30"/>
      <c r="T13" s="609"/>
      <c r="U13" s="609"/>
      <c r="V13" s="609"/>
      <c r="W13" s="609"/>
      <c r="X13" s="609"/>
      <c r="Y13" s="609"/>
      <c r="Z13" s="27"/>
      <c r="AA13" s="27"/>
      <c r="AB13" s="27"/>
      <c r="AC13" s="27"/>
      <c r="AD13" s="27"/>
      <c r="AE13" s="27"/>
      <c r="AF13" s="27"/>
      <c r="AG13" s="27"/>
      <c r="AH13" s="346">
        <f t="shared" ref="AH13" si="11">T13</f>
        <v>0</v>
      </c>
      <c r="AI13" s="346">
        <f t="shared" ref="AI13" si="12">U13</f>
        <v>0</v>
      </c>
      <c r="AJ13" s="346">
        <f>V13+Q13*'Założenia,wskaźniki, listy'!$J$46</f>
        <v>0</v>
      </c>
      <c r="AK13" s="346">
        <f t="shared" ref="AK13" si="13">W13</f>
        <v>0</v>
      </c>
      <c r="AL13" s="346">
        <f t="shared" ref="AL13" si="14">X13</f>
        <v>0</v>
      </c>
      <c r="AM13" s="346">
        <f t="shared" ref="AM13" si="15">Y13</f>
        <v>0</v>
      </c>
      <c r="AN13" s="346">
        <f t="shared" ref="AN13" si="16">Z13</f>
        <v>0</v>
      </c>
      <c r="AO13" s="347"/>
      <c r="AP13" s="350" t="s">
        <v>119</v>
      </c>
      <c r="AQ13" s="349">
        <f>SUM(AQ5:AQ12)</f>
        <v>5742.0970296124997</v>
      </c>
      <c r="AR13" s="486">
        <f>SUM(AR5:AR12)</f>
        <v>1</v>
      </c>
    </row>
    <row r="14" spans="1:44">
      <c r="J14" s="25">
        <f>SUM(J13:J13)</f>
        <v>0</v>
      </c>
      <c r="K14" s="350" t="s">
        <v>189</v>
      </c>
      <c r="L14" s="44"/>
      <c r="M14" s="44"/>
      <c r="N14" s="44"/>
      <c r="O14" s="44"/>
      <c r="P14" s="617">
        <f>SUM(P6:P12)</f>
        <v>5742.0970296124997</v>
      </c>
      <c r="Q14" s="608">
        <f>Q6</f>
        <v>181.0922222222222</v>
      </c>
      <c r="R14" s="348"/>
      <c r="S14" s="348"/>
      <c r="T14" s="610"/>
      <c r="U14" s="610"/>
      <c r="V14" s="610"/>
      <c r="W14" s="610"/>
      <c r="X14" s="610"/>
      <c r="Y14" s="610"/>
      <c r="Z14" s="44"/>
      <c r="AA14" s="44"/>
      <c r="AB14" s="44"/>
      <c r="AC14" s="44"/>
      <c r="AD14" s="44"/>
      <c r="AE14" s="44"/>
      <c r="AF14" s="44"/>
      <c r="AG14" s="44"/>
      <c r="AH14" s="349">
        <f>SUM(AH6:AH13)</f>
        <v>1.2667807369686102</v>
      </c>
      <c r="AI14" s="349">
        <f t="shared" ref="AI14:AN14" si="17">SUM(AI6:AI13)</f>
        <v>1.2055609793446096</v>
      </c>
      <c r="AJ14" s="349">
        <f t="shared" si="17"/>
        <v>358.15682570181144</v>
      </c>
      <c r="AK14" s="349">
        <f t="shared" si="17"/>
        <v>6.3871204063804441E-4</v>
      </c>
      <c r="AL14" s="349">
        <f t="shared" si="17"/>
        <v>2.0491137077535737</v>
      </c>
      <c r="AM14" s="349">
        <f t="shared" si="17"/>
        <v>0.63454139858429215</v>
      </c>
      <c r="AN14" s="349">
        <f t="shared" si="17"/>
        <v>4.8668855587042019</v>
      </c>
      <c r="AO14" s="820"/>
    </row>
    <row r="15" spans="1:44">
      <c r="C15" s="42"/>
      <c r="M15" s="42"/>
      <c r="N15" s="41"/>
      <c r="O15" s="60"/>
      <c r="P15" s="60"/>
      <c r="Q15" s="42"/>
      <c r="R15" s="42"/>
      <c r="S15" s="42"/>
      <c r="T15" s="59"/>
      <c r="U15" s="59"/>
      <c r="V15" s="59"/>
      <c r="W15" s="59"/>
      <c r="X15" s="59"/>
      <c r="Y15" s="59"/>
      <c r="Z15" s="42"/>
      <c r="AA15" s="42"/>
      <c r="AB15" s="42"/>
      <c r="AC15" s="42"/>
      <c r="AD15" s="42"/>
      <c r="AE15" s="42"/>
      <c r="AF15" s="42"/>
      <c r="AG15" s="42"/>
      <c r="AH15" s="42"/>
    </row>
    <row r="16" spans="1:44">
      <c r="C16" s="42"/>
      <c r="D16" s="27" t="s">
        <v>129</v>
      </c>
      <c r="M16" s="42"/>
      <c r="N16" s="61"/>
      <c r="O16" s="60"/>
      <c r="P16" s="60"/>
      <c r="Q16" s="42"/>
      <c r="R16" s="42"/>
      <c r="S16" s="42"/>
      <c r="T16" s="59"/>
      <c r="U16" s="59"/>
      <c r="V16" s="59"/>
      <c r="W16" s="59"/>
      <c r="X16" s="59"/>
      <c r="Y16" s="59"/>
      <c r="Z16" s="42"/>
      <c r="AA16" s="42"/>
      <c r="AB16" s="42"/>
      <c r="AC16" s="42"/>
      <c r="AD16" s="42"/>
      <c r="AE16" s="42"/>
      <c r="AF16" s="42"/>
      <c r="AG16" s="42"/>
      <c r="AH16" s="42"/>
    </row>
    <row r="17" spans="1:40" ht="48" customHeight="1">
      <c r="C17" s="54"/>
      <c r="D17" s="56">
        <v>850</v>
      </c>
      <c r="E17" s="52" t="s">
        <v>130</v>
      </c>
      <c r="H17" s="25" t="s">
        <v>120</v>
      </c>
      <c r="M17" s="42"/>
      <c r="N17" s="61"/>
      <c r="O17" s="60"/>
      <c r="P17" s="60"/>
      <c r="Q17" s="42"/>
      <c r="R17" s="42"/>
      <c r="S17" s="42"/>
      <c r="T17" s="59"/>
      <c r="U17" s="59"/>
      <c r="V17" s="59"/>
      <c r="W17" s="59"/>
      <c r="X17" s="59"/>
      <c r="Y17" s="59"/>
      <c r="Z17" s="42"/>
      <c r="AA17" s="42"/>
      <c r="AB17" s="42"/>
      <c r="AC17" s="42"/>
      <c r="AD17" s="42"/>
      <c r="AE17" s="42"/>
      <c r="AF17" s="42"/>
      <c r="AG17" s="42"/>
      <c r="AH17" s="42"/>
    </row>
    <row r="18" spans="1:40">
      <c r="C18" s="55"/>
      <c r="D18" s="57">
        <v>1584</v>
      </c>
      <c r="E18" s="53" t="s">
        <v>98</v>
      </c>
      <c r="H18" s="25">
        <f>520</f>
        <v>520</v>
      </c>
      <c r="J18" s="25" t="s">
        <v>97</v>
      </c>
      <c r="M18" s="42"/>
      <c r="N18" s="61"/>
      <c r="O18" s="60"/>
      <c r="P18" s="60"/>
      <c r="Q18" s="42"/>
      <c r="R18" s="42"/>
      <c r="S18" s="42"/>
      <c r="T18" s="59"/>
      <c r="U18" s="59"/>
      <c r="V18" s="59"/>
      <c r="W18" s="59"/>
      <c r="X18" s="59"/>
      <c r="Y18" s="59"/>
      <c r="Z18" s="42"/>
      <c r="AA18" s="42"/>
      <c r="AB18" s="42"/>
      <c r="AC18" s="42"/>
      <c r="AD18" s="42"/>
      <c r="AE18" s="42"/>
      <c r="AF18" s="42"/>
      <c r="AG18" s="42"/>
      <c r="AH18" s="42"/>
    </row>
    <row r="19" spans="1:40">
      <c r="C19" s="42">
        <v>3.7</v>
      </c>
      <c r="D19">
        <f>D18/D17</f>
        <v>1.8635294117647059</v>
      </c>
      <c r="E19" s="25" t="s">
        <v>131</v>
      </c>
      <c r="M19" s="42"/>
      <c r="N19" s="61"/>
      <c r="O19" s="60"/>
      <c r="P19" s="60"/>
      <c r="Q19" s="42"/>
      <c r="R19" s="42"/>
      <c r="S19" s="42"/>
      <c r="T19" s="59"/>
      <c r="U19" s="59"/>
      <c r="V19" s="59"/>
      <c r="W19" s="59"/>
      <c r="X19" s="59"/>
      <c r="Y19" s="59"/>
      <c r="Z19" s="42"/>
      <c r="AA19" s="42"/>
      <c r="AB19" s="42"/>
      <c r="AC19" s="42"/>
      <c r="AD19" s="42"/>
      <c r="AE19" s="42"/>
      <c r="AF19" s="42"/>
      <c r="AG19" s="42"/>
      <c r="AH19" s="42"/>
    </row>
    <row r="20" spans="1:40">
      <c r="C20" s="42" t="s">
        <v>134</v>
      </c>
      <c r="D20" t="e">
        <f>(#REF!+#REF!)/D21</f>
        <v>#REF!</v>
      </c>
      <c r="E20" s="25" t="e">
        <f>D20*E21/D21</f>
        <v>#REF!</v>
      </c>
      <c r="F20" s="25" t="s">
        <v>133</v>
      </c>
      <c r="M20" s="42"/>
      <c r="N20" s="41"/>
      <c r="O20" s="60"/>
      <c r="P20" s="42"/>
      <c r="Q20" s="42"/>
      <c r="R20" s="42"/>
      <c r="S20" s="42"/>
      <c r="T20" s="59"/>
      <c r="U20" s="59"/>
      <c r="V20" s="59"/>
      <c r="W20" s="59"/>
      <c r="X20" s="59"/>
      <c r="Y20" s="59"/>
      <c r="Z20" s="42"/>
      <c r="AA20" s="42"/>
      <c r="AB20" s="42"/>
      <c r="AC20" s="42"/>
      <c r="AD20" s="42"/>
      <c r="AE20" s="42"/>
      <c r="AF20" s="42"/>
      <c r="AG20" s="42"/>
      <c r="AH20" s="42"/>
    </row>
    <row r="21" spans="1:40">
      <c r="C21" s="25" t="s">
        <v>132</v>
      </c>
      <c r="D21">
        <v>191</v>
      </c>
      <c r="E21" s="25">
        <f>D21*D19</f>
        <v>355.93411764705883</v>
      </c>
      <c r="M21" s="42"/>
      <c r="N21" s="42"/>
      <c r="O21" s="42"/>
      <c r="P21" s="42"/>
      <c r="Q21" s="42"/>
      <c r="R21" s="42"/>
      <c r="S21" s="42"/>
      <c r="T21" s="59"/>
      <c r="U21" s="59"/>
      <c r="V21" s="59"/>
      <c r="W21" s="59"/>
      <c r="X21" s="59"/>
      <c r="Y21" s="59"/>
      <c r="Z21" s="42"/>
      <c r="AA21" s="42"/>
      <c r="AB21" s="42"/>
      <c r="AC21" s="42"/>
      <c r="AD21" s="42"/>
      <c r="AE21" s="42"/>
      <c r="AF21" s="42"/>
      <c r="AG21" s="42"/>
      <c r="AH21" s="42"/>
    </row>
    <row r="22" spans="1:40">
      <c r="G22" s="1030" t="s">
        <v>125</v>
      </c>
      <c r="H22" s="1030"/>
      <c r="N22" s="41"/>
      <c r="AH22" s="343">
        <f>AH14</f>
        <v>1.2667807369686102</v>
      </c>
      <c r="AI22" s="343">
        <f>AI14</f>
        <v>1.2055609793446096</v>
      </c>
      <c r="AJ22" s="344">
        <f>AJ14/100</f>
        <v>3.5815682570181142</v>
      </c>
      <c r="AK22" s="343">
        <f>AK14*1000</f>
        <v>0.63871204063804443</v>
      </c>
      <c r="AL22" s="343">
        <f>AL14</f>
        <v>2.0491137077535737</v>
      </c>
      <c r="AM22" s="343">
        <f>AM14</f>
        <v>0.63454139858429215</v>
      </c>
      <c r="AN22" s="343">
        <f>AN14</f>
        <v>4.8668855587042019</v>
      </c>
    </row>
    <row r="23" spans="1:40">
      <c r="G23" s="27" t="s">
        <v>122</v>
      </c>
      <c r="H23" s="27">
        <v>2707</v>
      </c>
    </row>
    <row r="24" spans="1:40">
      <c r="G24" s="27" t="s">
        <v>123</v>
      </c>
      <c r="H24" s="3">
        <v>241161</v>
      </c>
    </row>
    <row r="25" spans="1:40">
      <c r="A25" s="25"/>
      <c r="D25" s="25"/>
      <c r="G25" s="27" t="s">
        <v>99</v>
      </c>
      <c r="H25" s="47" t="e">
        <f>H24/#REF!*#REF!</f>
        <v>#REF!</v>
      </c>
      <c r="T25" s="25"/>
      <c r="U25" s="25"/>
      <c r="V25" s="25"/>
      <c r="W25" s="25"/>
      <c r="X25" s="25"/>
      <c r="Y25" s="25"/>
    </row>
    <row r="33" spans="11:11">
      <c r="K33" s="157" t="s">
        <v>317</v>
      </c>
    </row>
  </sheetData>
  <mergeCells count="29">
    <mergeCell ref="Q6:Q13"/>
    <mergeCell ref="G22:H22"/>
    <mergeCell ref="AP3:AR3"/>
    <mergeCell ref="G5:H5"/>
    <mergeCell ref="A6:A7"/>
    <mergeCell ref="A8:A9"/>
    <mergeCell ref="A10:A11"/>
    <mergeCell ref="C10:C11"/>
    <mergeCell ref="A3:A4"/>
    <mergeCell ref="B3:B4"/>
    <mergeCell ref="C3:C4"/>
    <mergeCell ref="D3:D4"/>
    <mergeCell ref="E3:E4"/>
    <mergeCell ref="F3:F4"/>
    <mergeCell ref="G3:H3"/>
    <mergeCell ref="I3:I4"/>
    <mergeCell ref="J3:J4"/>
    <mergeCell ref="K3:K4"/>
    <mergeCell ref="L3:L4"/>
    <mergeCell ref="M3:M4"/>
    <mergeCell ref="K2:Q2"/>
    <mergeCell ref="AH2:AN3"/>
    <mergeCell ref="N3:N4"/>
    <mergeCell ref="O3:O4"/>
    <mergeCell ref="P3:P4"/>
    <mergeCell ref="Q3:Q4"/>
    <mergeCell ref="T3:Z3"/>
    <mergeCell ref="AA3:AG3"/>
    <mergeCell ref="R2:AG2"/>
  </mergeCells>
  <pageMargins left="0.7" right="0.7" top="0.75" bottom="0.75" header="0.3" footer="0.3"/>
  <pageSetup paperSize="9" scale="75" orientation="landscape" r:id="rId1"/>
  <drawing r:id="rId2"/>
  <legacyDrawing r:id="rId3"/>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400-000000000000}">
          <x14:formula1>
            <xm:f>'Założenia,wskaźniki, listy'!$A$4:$A$10</xm:f>
          </x14:formula1>
          <xm:sqref>L6:L12 K6:K11</xm:sqref>
        </x14:dataValidation>
        <x14:dataValidation type="list" allowBlank="1" showInputMessage="1" showErrorMessage="1" xr:uid="{00000000-0002-0000-0400-000001000000}">
          <x14:formula1>
            <xm:f>'Założenia,wskaźniki, listy'!$N$27:$N$29</xm:f>
          </x14:formula1>
          <xm:sqref>B6:B12</xm:sqref>
        </x14:dataValidation>
        <x14:dataValidation type="list" allowBlank="1" showInputMessage="1" showErrorMessage="1" xr:uid="{00000000-0002-0000-0400-000002000000}">
          <x14:formula1>
            <xm:f>'Założenia,wskaźniki, listy'!$F$13:$F$15</xm:f>
          </x14:formula1>
          <xm:sqref>J6:J12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9600"/>
  </sheetPr>
  <dimension ref="A1:CF157"/>
  <sheetViews>
    <sheetView zoomScaleNormal="100" zoomScaleSheetLayoutView="160" workbookViewId="0">
      <pane xSplit="1" ySplit="4" topLeftCell="B5" activePane="bottomRight" state="frozen"/>
      <selection pane="topRight" activeCell="D1" sqref="D1"/>
      <selection pane="bottomLeft" activeCell="A5" sqref="A5"/>
      <selection pane="bottomRight" activeCell="T25" sqref="T25"/>
    </sheetView>
  </sheetViews>
  <sheetFormatPr defaultColWidth="9" defaultRowHeight="8.4"/>
  <cols>
    <col min="1" max="1" width="3" style="308" bestFit="1" customWidth="1"/>
    <col min="2" max="2" width="8.59765625" style="342" customWidth="1"/>
    <col min="3" max="3" width="4.5" style="342" hidden="1" customWidth="1"/>
    <col min="4" max="4" width="7.19921875" style="538" bestFit="1" customWidth="1"/>
    <col min="5" max="5" width="4.19921875" style="88" customWidth="1"/>
    <col min="6" max="6" width="6.59765625" style="308" customWidth="1"/>
    <col min="7" max="8" width="2.19921875" style="308" customWidth="1"/>
    <col min="9" max="9" width="5.69921875" style="308" hidden="1" customWidth="1"/>
    <col min="10" max="10" width="8.8984375" style="308" bestFit="1" customWidth="1"/>
    <col min="11" max="11" width="4.59765625" style="308" customWidth="1"/>
    <col min="12" max="12" width="7.69921875" style="308" customWidth="1"/>
    <col min="13" max="13" width="7.3984375" style="341" customWidth="1"/>
    <col min="14" max="15" width="7.3984375" style="341" hidden="1" customWidth="1"/>
    <col min="16" max="16" width="11" style="341" customWidth="1"/>
    <col min="17" max="17" width="4.5" style="308" customWidth="1"/>
    <col min="18" max="18" width="6.8984375" style="308" customWidth="1"/>
    <col min="19" max="19" width="8.69921875" style="308" customWidth="1"/>
    <col min="20" max="20" width="8.3984375" style="308" customWidth="1"/>
    <col min="21" max="21" width="8.69921875" style="308" customWidth="1"/>
    <col min="22" max="22" width="3.09765625" style="341" hidden="1" customWidth="1"/>
    <col min="23" max="23" width="3.3984375" style="341" hidden="1" customWidth="1"/>
    <col min="24" max="24" width="3.8984375" style="341" hidden="1" customWidth="1"/>
    <col min="25" max="25" width="2.3984375" style="341" hidden="1" customWidth="1"/>
    <col min="26" max="26" width="2.8984375" style="341" hidden="1" customWidth="1"/>
    <col min="27" max="27" width="2.3984375" style="341" hidden="1" customWidth="1"/>
    <col min="28" max="28" width="2.8984375" style="308" hidden="1" customWidth="1"/>
    <col min="29" max="29" width="3.09765625" style="308" hidden="1" customWidth="1"/>
    <col min="30" max="31" width="3.3984375" style="308" hidden="1" customWidth="1"/>
    <col min="32" max="34" width="2.3984375" style="308" hidden="1" customWidth="1"/>
    <col min="35" max="35" width="2.8984375" style="308" hidden="1" customWidth="1"/>
    <col min="36" max="36" width="3.09765625" style="308" hidden="1" customWidth="1"/>
    <col min="37" max="37" width="3.3984375" style="308" hidden="1" customWidth="1"/>
    <col min="38" max="42" width="2.3984375" style="308" hidden="1" customWidth="1"/>
    <col min="43" max="43" width="7.3984375" style="308" customWidth="1"/>
    <col min="44" max="44" width="3.59765625" style="308" customWidth="1"/>
    <col min="45" max="45" width="3.8984375" style="308" customWidth="1"/>
    <col min="46" max="46" width="4.3984375" style="308" customWidth="1"/>
    <col min="47" max="50" width="3.19921875" style="308" customWidth="1"/>
    <col min="51" max="51" width="3.59765625" style="308" customWidth="1"/>
    <col min="52" max="53" width="4.59765625" style="308" customWidth="1"/>
    <col min="54" max="54" width="4.5" style="341" customWidth="1"/>
    <col min="55" max="55" width="6.69921875" style="308" customWidth="1"/>
    <col min="56" max="56" width="6" style="308" customWidth="1"/>
    <col min="57" max="57" width="5.19921875" style="88" customWidth="1"/>
    <col min="58" max="58" width="6.5" style="88" customWidth="1"/>
    <col min="59" max="59" width="5.59765625" style="88" customWidth="1"/>
    <col min="60" max="60" width="9" style="341" customWidth="1"/>
    <col min="61" max="61" width="8.5" style="326" hidden="1" customWidth="1"/>
    <col min="62" max="63" width="7" style="319" hidden="1" customWidth="1"/>
    <col min="64" max="64" width="5.3984375" style="319" hidden="1" customWidth="1"/>
    <col min="65" max="65" width="7" style="319" hidden="1" customWidth="1"/>
    <col min="66" max="66" width="6.09765625" style="319" hidden="1" customWidth="1"/>
    <col min="67" max="67" width="7" style="319" hidden="1" customWidth="1"/>
    <col min="68" max="68" width="7.3984375" style="319" hidden="1" customWidth="1"/>
    <col min="69" max="69" width="5.19921875" style="319" hidden="1" customWidth="1"/>
    <col min="70" max="70" width="7.3984375" style="319" hidden="1" customWidth="1"/>
    <col min="71" max="71" width="7" style="319" hidden="1" customWidth="1"/>
    <col min="72" max="72" width="6.5" style="319" hidden="1" customWidth="1"/>
    <col min="73" max="73" width="3.69921875" style="319" hidden="1" customWidth="1"/>
    <col min="74" max="74" width="4.19921875" style="319" hidden="1" customWidth="1"/>
    <col min="75" max="77" width="3.69921875" style="319" hidden="1" customWidth="1"/>
    <col min="78" max="78" width="3.8984375" style="319" hidden="1" customWidth="1"/>
    <col min="79" max="79" width="3.69921875" style="319" hidden="1" customWidth="1"/>
    <col min="80" max="80" width="4.19921875" style="319" hidden="1" customWidth="1"/>
    <col min="81" max="82" width="3.69921875" style="319" hidden="1" customWidth="1"/>
    <col min="83" max="83" width="7" style="319" hidden="1" customWidth="1"/>
    <col min="84" max="84" width="7" style="326" customWidth="1"/>
    <col min="85" max="16384" width="9" style="308"/>
  </cols>
  <sheetData>
    <row r="1" spans="1:84" ht="13.2">
      <c r="A1" s="1013" t="s">
        <v>546</v>
      </c>
      <c r="B1" s="1013"/>
      <c r="C1" s="1013"/>
      <c r="D1" s="1013"/>
      <c r="E1" s="1013"/>
      <c r="F1" s="1013"/>
      <c r="G1" s="1013"/>
      <c r="H1" s="1013"/>
      <c r="I1" s="1013"/>
      <c r="J1" s="1013"/>
      <c r="K1" s="1013"/>
      <c r="L1" s="1013"/>
      <c r="M1" s="1013"/>
      <c r="N1" s="1013"/>
      <c r="O1" s="1013"/>
      <c r="P1" s="1013"/>
      <c r="Q1" s="1013"/>
      <c r="R1" s="1013"/>
      <c r="S1" s="1013"/>
      <c r="T1" s="1013"/>
      <c r="U1" s="1013"/>
      <c r="V1" s="1013"/>
      <c r="W1" s="1013"/>
      <c r="X1" s="1013"/>
      <c r="Y1" s="1013"/>
      <c r="Z1" s="1013"/>
      <c r="AA1" s="1013"/>
      <c r="AB1" s="1013"/>
      <c r="AC1" s="1013"/>
      <c r="AD1" s="1013"/>
      <c r="AE1" s="1013"/>
      <c r="AF1" s="1013"/>
      <c r="AG1" s="1013"/>
      <c r="AH1" s="1013"/>
      <c r="AI1" s="1013"/>
      <c r="AJ1" s="1013"/>
      <c r="AK1" s="1013"/>
      <c r="AL1" s="1013"/>
      <c r="AM1" s="1013"/>
      <c r="AN1" s="1013"/>
      <c r="AO1" s="1013"/>
      <c r="AP1" s="1013"/>
      <c r="AQ1" s="1013"/>
      <c r="AR1" s="1013"/>
      <c r="AS1" s="1013"/>
      <c r="AT1" s="1013"/>
      <c r="AU1" s="1013"/>
      <c r="AV1" s="1013"/>
      <c r="AW1" s="1013"/>
      <c r="AX1" s="1013"/>
      <c r="AY1" s="1013"/>
      <c r="AZ1" s="1013"/>
      <c r="BA1" s="1013"/>
      <c r="BB1" s="1013"/>
      <c r="BC1" s="1013"/>
      <c r="BD1" s="1013"/>
      <c r="BE1" s="1013"/>
      <c r="BF1" s="1013"/>
      <c r="BG1" s="1013"/>
    </row>
    <row r="2" spans="1:84" s="310" customFormat="1" ht="46.5" customHeight="1">
      <c r="A2" s="1014" t="s">
        <v>4</v>
      </c>
      <c r="B2" s="1057" t="s">
        <v>157</v>
      </c>
      <c r="C2" s="1012" t="s">
        <v>158</v>
      </c>
      <c r="D2" s="1012" t="s">
        <v>159</v>
      </c>
      <c r="E2" s="1000" t="s">
        <v>24</v>
      </c>
      <c r="F2" s="1000" t="s">
        <v>160</v>
      </c>
      <c r="G2" s="1000" t="s">
        <v>164</v>
      </c>
      <c r="H2" s="1000"/>
      <c r="I2" s="1000" t="s">
        <v>34</v>
      </c>
      <c r="J2" s="1000" t="s">
        <v>397</v>
      </c>
      <c r="K2" s="1000" t="s">
        <v>25</v>
      </c>
      <c r="L2" s="1000" t="s">
        <v>30</v>
      </c>
      <c r="M2" s="1000" t="s">
        <v>83</v>
      </c>
      <c r="N2" s="501" t="s">
        <v>350</v>
      </c>
      <c r="O2" s="561">
        <v>8000</v>
      </c>
      <c r="P2" s="1000" t="s">
        <v>84</v>
      </c>
      <c r="Q2" s="1000" t="s">
        <v>78</v>
      </c>
      <c r="R2" s="1048" t="s">
        <v>518</v>
      </c>
      <c r="S2" s="1049"/>
      <c r="T2" s="1050"/>
      <c r="U2" s="1000" t="s">
        <v>543</v>
      </c>
      <c r="V2" s="1001" t="s">
        <v>412</v>
      </c>
      <c r="W2" s="1001"/>
      <c r="X2" s="1001"/>
      <c r="Y2" s="1001"/>
      <c r="Z2" s="1001"/>
      <c r="AA2" s="1001"/>
      <c r="AB2" s="1001"/>
      <c r="AC2" s="1001" t="s">
        <v>412</v>
      </c>
      <c r="AD2" s="1001"/>
      <c r="AE2" s="1001"/>
      <c r="AF2" s="1001"/>
      <c r="AG2" s="1001"/>
      <c r="AH2" s="1001"/>
      <c r="AI2" s="1001"/>
      <c r="AJ2" s="1001" t="s">
        <v>81</v>
      </c>
      <c r="AK2" s="1001"/>
      <c r="AL2" s="1001"/>
      <c r="AM2" s="1001"/>
      <c r="AN2" s="1001"/>
      <c r="AO2" s="1001"/>
      <c r="AP2" s="1001"/>
      <c r="AQ2" s="1000" t="s">
        <v>166</v>
      </c>
      <c r="AR2" s="1001" t="s">
        <v>187</v>
      </c>
      <c r="AS2" s="1001"/>
      <c r="AT2" s="1001"/>
      <c r="AU2" s="1001"/>
      <c r="AV2" s="1001"/>
      <c r="AW2" s="1001"/>
      <c r="AX2" s="1001"/>
      <c r="AY2" s="1000" t="s">
        <v>85</v>
      </c>
      <c r="AZ2" s="1000" t="s">
        <v>89</v>
      </c>
      <c r="BA2" s="1000" t="s">
        <v>283</v>
      </c>
      <c r="BB2" s="1000" t="s">
        <v>168</v>
      </c>
      <c r="BC2" s="1000" t="s">
        <v>89</v>
      </c>
      <c r="BD2" s="1000" t="s">
        <v>169</v>
      </c>
      <c r="BE2" s="1000" t="s">
        <v>170</v>
      </c>
      <c r="BF2" s="1000" t="s">
        <v>171</v>
      </c>
      <c r="BG2" s="1000" t="s">
        <v>169</v>
      </c>
      <c r="BH2" s="1058" t="s">
        <v>363</v>
      </c>
      <c r="BI2" s="1047" t="s">
        <v>425</v>
      </c>
      <c r="BJ2" s="1047"/>
      <c r="BK2" s="1047"/>
      <c r="BL2" s="1047"/>
      <c r="BM2" s="1047"/>
      <c r="BN2" s="1047"/>
      <c r="BO2" s="1047"/>
      <c r="BP2" s="1047"/>
      <c r="BQ2" s="1047"/>
      <c r="BR2" s="1047"/>
      <c r="BS2" s="1047"/>
      <c r="BT2" s="1047"/>
      <c r="BU2" s="1047"/>
      <c r="BV2" s="1047"/>
      <c r="BW2" s="1047"/>
      <c r="BX2" s="1047"/>
      <c r="BY2" s="1047"/>
      <c r="BZ2" s="1047"/>
      <c r="CA2" s="1047"/>
      <c r="CB2" s="1047"/>
      <c r="CC2" s="1047"/>
      <c r="CD2" s="1047"/>
      <c r="CE2" s="1047"/>
      <c r="CF2" s="613"/>
    </row>
    <row r="3" spans="1:84" s="310" customFormat="1" ht="7.8">
      <c r="A3" s="1014"/>
      <c r="B3" s="1057"/>
      <c r="C3" s="1012"/>
      <c r="D3" s="1012"/>
      <c r="E3" s="1000"/>
      <c r="F3" s="1000"/>
      <c r="G3" s="1000"/>
      <c r="H3" s="1000"/>
      <c r="I3" s="1000"/>
      <c r="J3" s="1000"/>
      <c r="K3" s="1000"/>
      <c r="L3" s="1000"/>
      <c r="M3" s="1000"/>
      <c r="N3" s="561"/>
      <c r="O3" s="561">
        <v>2</v>
      </c>
      <c r="P3" s="1000"/>
      <c r="Q3" s="1000"/>
      <c r="R3" s="1051"/>
      <c r="S3" s="1052"/>
      <c r="T3" s="1053"/>
      <c r="U3" s="1000"/>
      <c r="V3" s="248" t="s">
        <v>66</v>
      </c>
      <c r="W3" s="248" t="s">
        <v>67</v>
      </c>
      <c r="X3" s="248" t="s">
        <v>68</v>
      </c>
      <c r="Y3" s="248" t="s">
        <v>69</v>
      </c>
      <c r="Z3" s="248" t="s">
        <v>70</v>
      </c>
      <c r="AA3" s="248" t="s">
        <v>71</v>
      </c>
      <c r="AB3" s="248" t="s">
        <v>72</v>
      </c>
      <c r="AC3" s="248" t="s">
        <v>66</v>
      </c>
      <c r="AD3" s="248" t="s">
        <v>67</v>
      </c>
      <c r="AE3" s="248" t="s">
        <v>68</v>
      </c>
      <c r="AF3" s="248" t="s">
        <v>69</v>
      </c>
      <c r="AG3" s="248" t="s">
        <v>70</v>
      </c>
      <c r="AH3" s="248" t="s">
        <v>71</v>
      </c>
      <c r="AI3" s="248" t="s">
        <v>72</v>
      </c>
      <c r="AJ3" s="248" t="s">
        <v>66</v>
      </c>
      <c r="AK3" s="248" t="s">
        <v>67</v>
      </c>
      <c r="AL3" s="248" t="s">
        <v>68</v>
      </c>
      <c r="AM3" s="248" t="s">
        <v>69</v>
      </c>
      <c r="AN3" s="248" t="s">
        <v>70</v>
      </c>
      <c r="AO3" s="248" t="s">
        <v>71</v>
      </c>
      <c r="AP3" s="248" t="s">
        <v>72</v>
      </c>
      <c r="AQ3" s="1000"/>
      <c r="AR3" s="248" t="s">
        <v>66</v>
      </c>
      <c r="AS3" s="248" t="s">
        <v>67</v>
      </c>
      <c r="AT3" s="248" t="s">
        <v>100</v>
      </c>
      <c r="AU3" s="248" t="s">
        <v>69</v>
      </c>
      <c r="AV3" s="248" t="s">
        <v>70</v>
      </c>
      <c r="AW3" s="248" t="s">
        <v>71</v>
      </c>
      <c r="AX3" s="248" t="s">
        <v>72</v>
      </c>
      <c r="AY3" s="1000"/>
      <c r="AZ3" s="1000"/>
      <c r="BA3" s="1000"/>
      <c r="BB3" s="1000"/>
      <c r="BC3" s="1000"/>
      <c r="BD3" s="1000"/>
      <c r="BE3" s="1000"/>
      <c r="BF3" s="1000"/>
      <c r="BG3" s="1000"/>
      <c r="BH3" s="1059"/>
      <c r="BI3" s="326" t="s">
        <v>414</v>
      </c>
      <c r="BJ3" s="1008" t="s">
        <v>112</v>
      </c>
      <c r="BK3" s="1008"/>
      <c r="BL3" s="1008"/>
      <c r="BM3" s="1008"/>
      <c r="BN3" s="1008"/>
      <c r="BO3" s="1008"/>
      <c r="BP3" s="1008"/>
      <c r="BQ3" s="1008"/>
      <c r="BR3" s="1008"/>
      <c r="BS3" s="604"/>
      <c r="BT3" s="1008" t="s">
        <v>113</v>
      </c>
      <c r="BU3" s="1008"/>
      <c r="BV3" s="1008"/>
      <c r="BW3" s="1008"/>
      <c r="BX3" s="1008"/>
      <c r="BY3" s="1008"/>
      <c r="BZ3" s="779"/>
      <c r="CA3" s="779"/>
      <c r="CB3" s="779"/>
      <c r="CC3" s="779"/>
      <c r="CD3" s="779"/>
      <c r="CE3" s="779"/>
      <c r="CF3" s="613"/>
    </row>
    <row r="4" spans="1:84" s="310" customFormat="1" ht="16.8">
      <c r="A4" s="562">
        <v>1</v>
      </c>
      <c r="B4" s="563">
        <v>2</v>
      </c>
      <c r="C4" s="563" t="s">
        <v>544</v>
      </c>
      <c r="D4" s="560">
        <v>3</v>
      </c>
      <c r="E4" s="562">
        <v>4</v>
      </c>
      <c r="F4" s="562">
        <v>5</v>
      </c>
      <c r="G4" s="1001">
        <v>6</v>
      </c>
      <c r="H4" s="1001"/>
      <c r="I4" s="562" t="s">
        <v>544</v>
      </c>
      <c r="J4" s="562">
        <v>7</v>
      </c>
      <c r="K4" s="561">
        <v>8</v>
      </c>
      <c r="L4" s="562">
        <v>9</v>
      </c>
      <c r="M4" s="562">
        <v>10</v>
      </c>
      <c r="N4" s="562">
        <v>100</v>
      </c>
      <c r="O4" s="502" t="s">
        <v>351</v>
      </c>
      <c r="P4" s="562">
        <v>11</v>
      </c>
      <c r="Q4" s="562">
        <v>12</v>
      </c>
      <c r="R4" s="1054"/>
      <c r="S4" s="1055"/>
      <c r="T4" s="1056"/>
      <c r="U4" s="562">
        <v>13</v>
      </c>
      <c r="V4" s="1002" t="s">
        <v>431</v>
      </c>
      <c r="W4" s="1002"/>
      <c r="X4" s="1002"/>
      <c r="Y4" s="1002"/>
      <c r="Z4" s="1002"/>
      <c r="AA4" s="1002"/>
      <c r="AB4" s="1002"/>
      <c r="AC4" s="1002"/>
      <c r="AD4" s="1002"/>
      <c r="AE4" s="1002"/>
      <c r="AF4" s="1002"/>
      <c r="AG4" s="1002"/>
      <c r="AH4" s="1002"/>
      <c r="AI4" s="1002"/>
      <c r="AJ4" s="1002"/>
      <c r="AK4" s="1002"/>
      <c r="AL4" s="1002"/>
      <c r="AM4" s="1002"/>
      <c r="AN4" s="1002"/>
      <c r="AO4" s="1002"/>
      <c r="AP4" s="1002"/>
      <c r="AQ4" s="562">
        <v>14</v>
      </c>
      <c r="AR4" s="562">
        <v>15</v>
      </c>
      <c r="AS4" s="562">
        <v>16</v>
      </c>
      <c r="AT4" s="562">
        <f>AS4+1</f>
        <v>17</v>
      </c>
      <c r="AU4" s="562">
        <f t="shared" ref="AU4:BG4" si="0">AT4+1</f>
        <v>18</v>
      </c>
      <c r="AV4" s="562">
        <f t="shared" si="0"/>
        <v>19</v>
      </c>
      <c r="AW4" s="562">
        <f t="shared" si="0"/>
        <v>20</v>
      </c>
      <c r="AX4" s="562">
        <f t="shared" si="0"/>
        <v>21</v>
      </c>
      <c r="AY4" s="562">
        <f t="shared" si="0"/>
        <v>22</v>
      </c>
      <c r="AZ4" s="562">
        <f t="shared" si="0"/>
        <v>23</v>
      </c>
      <c r="BA4" s="562">
        <f t="shared" si="0"/>
        <v>24</v>
      </c>
      <c r="BB4" s="561">
        <f t="shared" si="0"/>
        <v>25</v>
      </c>
      <c r="BC4" s="562">
        <f t="shared" si="0"/>
        <v>26</v>
      </c>
      <c r="BD4" s="562">
        <f t="shared" si="0"/>
        <v>27</v>
      </c>
      <c r="BE4" s="562">
        <f t="shared" si="0"/>
        <v>28</v>
      </c>
      <c r="BF4" s="562">
        <f t="shared" si="0"/>
        <v>29</v>
      </c>
      <c r="BG4" s="562">
        <f t="shared" si="0"/>
        <v>30</v>
      </c>
      <c r="BH4" s="797">
        <v>35</v>
      </c>
      <c r="BI4" s="613"/>
      <c r="BJ4" s="779" t="s">
        <v>114</v>
      </c>
      <c r="BK4" s="779" t="s">
        <v>115</v>
      </c>
      <c r="BL4" s="605" t="s">
        <v>38</v>
      </c>
      <c r="BM4" s="779" t="s">
        <v>115</v>
      </c>
      <c r="BN4" s="605" t="s">
        <v>40</v>
      </c>
      <c r="BO4" s="779" t="s">
        <v>115</v>
      </c>
      <c r="BP4" s="605" t="s">
        <v>42</v>
      </c>
      <c r="BQ4" s="779" t="s">
        <v>115</v>
      </c>
      <c r="BR4" s="605" t="s">
        <v>44</v>
      </c>
      <c r="BS4" s="604"/>
      <c r="BT4" s="779" t="s">
        <v>8</v>
      </c>
      <c r="BU4" s="779" t="s">
        <v>116</v>
      </c>
      <c r="BV4" s="779" t="s">
        <v>79</v>
      </c>
      <c r="BW4" s="779" t="s">
        <v>27</v>
      </c>
      <c r="BX4" s="779" t="s">
        <v>117</v>
      </c>
      <c r="BY4" s="779" t="s">
        <v>29</v>
      </c>
      <c r="BZ4" s="779" t="s">
        <v>8</v>
      </c>
      <c r="CA4" s="779" t="s">
        <v>116</v>
      </c>
      <c r="CB4" s="779" t="s">
        <v>79</v>
      </c>
      <c r="CC4" s="779" t="s">
        <v>27</v>
      </c>
      <c r="CD4" s="779" t="s">
        <v>117</v>
      </c>
      <c r="CE4" s="779" t="s">
        <v>29</v>
      </c>
      <c r="CF4" s="613"/>
    </row>
    <row r="5" spans="1:84">
      <c r="A5" s="483">
        <v>1</v>
      </c>
      <c r="B5" s="584"/>
      <c r="C5" s="503" t="s">
        <v>175</v>
      </c>
      <c r="D5" s="566"/>
      <c r="E5" s="566"/>
      <c r="F5" s="566"/>
      <c r="G5" s="88"/>
      <c r="H5" s="88"/>
      <c r="I5" s="88">
        <f>IF(E5&lt;=1966,'Założenia,wskaźniki, listy'!$H$4,IF(E5&gt;1966,IF(E5&lt;=1985,'Założenia,wskaźniki, listy'!$H$5,IF(E5&gt;1985,IF(E5&lt;=1992,'Założenia,wskaźniki, listy'!$H$6,IF(E5&gt;1992,IF(E5&lt;=1996,'Założenia,wskaźniki, listy'!$H$7,IF(E5&gt;1996,IF(E5&lt;=2013,'Założenia,wskaźniki, listy'!$H$8)))))))))</f>
        <v>290</v>
      </c>
      <c r="J5" s="88"/>
      <c r="K5" s="88"/>
      <c r="L5" s="88"/>
      <c r="M5" s="567"/>
      <c r="N5" s="567"/>
      <c r="O5" s="567"/>
      <c r="P5" s="567"/>
      <c r="Q5" s="88"/>
      <c r="R5" s="282">
        <f t="shared" ref="R5:R18" si="1">IF(S5&gt;0,(T5+U5+S5)/2,T5+U5)</f>
        <v>0</v>
      </c>
      <c r="S5" s="568">
        <f>IF(J5="kompletna",I5*F5*0.0036*'Założenia,wskaźniki, listy'!$C$15,IF(J5="częściowa",I5*F5*0.0036*'Założenia,wskaźniki, listy'!$C$16,IF(J5="brak",I5*F5*0.0036*'Założenia,wskaźniki, listy'!$C$17,0)))</f>
        <v>0</v>
      </c>
      <c r="T5" s="568">
        <f>G5*'Założenia,wskaźniki, listy'!$L$15</f>
        <v>0</v>
      </c>
      <c r="U5" s="594">
        <f>IF(K5="węgiel",L5*'Założenia,wskaźniki, listy'!$B$4,IF(K5="gaz",L5*'Założenia,wskaźniki, listy'!$B$5,IF(K5="drewno",L5*'Założenia,wskaźniki, listy'!$B$6,IF(K5="pelet",L5*'Założenia,wskaźniki, listy'!$B$7,IF(K5="olej opałowy",L5*'Założenia,wskaźniki, listy'!$B$8,IF(K5="sieć ciepłownicza",0,0))))))</f>
        <v>0</v>
      </c>
      <c r="V5" s="568">
        <f>IF(K5="węgiel",U5*'Założenia,wskaźniki, listy'!$C$44,IF(K5="gaz",U5*'Założenia,wskaźniki, listy'!$D$44,IF(K5="drewno",U5*'Założenia,wskaźniki, listy'!$E$44,IF(K5="pelet",U5*'Założenia,wskaźniki, listy'!$F$44,IF(K5="olej opałowy",U5*'Założenia,wskaźniki, listy'!$G$44,IF(K5="sieć ciepłownicza",0,IF(K5="prąd",0,0)))))))</f>
        <v>0</v>
      </c>
      <c r="W5" s="568">
        <f>IF(K5="węgiel",U5*'Założenia,wskaźniki, listy'!$C$45,IF(K5="gaz",U5*'Założenia,wskaźniki, listy'!$D$45,IF(K5="drewno",U5*'Założenia,wskaźniki, listy'!$E$45,IF(K5="pelet",U5*'Założenia,wskaźniki, listy'!$F$45,IF(K5="olej opałowy",U5*'Założenia,wskaźniki, listy'!$G$45,IF(K5="sieć ciepłownicza",0,IF(K5="prąd",0,0)))))))</f>
        <v>0</v>
      </c>
      <c r="X5" s="568">
        <f>IF(K5="węgiel",U5*'Założenia,wskaźniki, listy'!$C$46,IF(K5="gaz",U5*'Założenia,wskaźniki, listy'!$D$46,IF(K5="drewno",U5*'Założenia,wskaźniki, listy'!$E$46,IF(K5="pelet",U5*'Założenia,wskaźniki, listy'!$F$46,IF(K5="olej opałowy",U5*'Założenia,wskaźniki, listy'!$G$46,IF(K5="sieć ciepłownicza",0,IF(K5="prąd",0,0)))))))</f>
        <v>0</v>
      </c>
      <c r="Y5" s="568">
        <f>IF(K5="węgiel",U5*'Założenia,wskaźniki, listy'!$C$47,IF(K5="gaz",U5*'Założenia,wskaźniki, listy'!$D$47,IF(K5="drewno",U5*'Założenia,wskaźniki, listy'!$E$47,IF(K5="pelet",U5*'Założenia,wskaźniki, listy'!$F$47,IF(K5="olej opałowy",U5*'Założenia,wskaźniki, listy'!$G$47,IF(K5="sieć ciepłownicza",0,IF(K5="prąd",0,0)))))))</f>
        <v>0</v>
      </c>
      <c r="Z5" s="568">
        <f>IF(K5="węgiel",U5*'Założenia,wskaźniki, listy'!$C$48,IF(K5="gaz",U5*'Założenia,wskaźniki, listy'!$D$48,IF(K5="drewno",U5*'Założenia,wskaźniki, listy'!$E$48,IF(K5="pelet",U5*'Założenia,wskaźniki, listy'!$F$48,IF(K5="olej opałowy",U5*'Założenia,wskaźniki, listy'!$G$48,IF(K5="sieć ciepłownicza",0,IF(K5="prąd",0,0)))))))</f>
        <v>0</v>
      </c>
      <c r="AA5" s="568">
        <f>IF(K5="węgiel",U5*'Założenia,wskaźniki, listy'!$C$49,IF(K5="gaz",U5*'Założenia,wskaźniki, listy'!$D$49,IF(K5="drewno",U5*'Założenia,wskaźniki, listy'!$E$49,IF(K5="pelet",U5*'Założenia,wskaźniki, listy'!$F$49,IF(K5="olej opałowy",U5*'Założenia,wskaźniki, listy'!$G$49,IF(K5="sieć ciepłownicza",0,IF(K5="prąd",0,0)))))))</f>
        <v>0</v>
      </c>
      <c r="AB5" s="568">
        <f>IF(K5="węgiel",U5*'Założenia,wskaźniki, listy'!$C$50,IF(K5="gaz",U5*'Założenia,wskaźniki, listy'!$D$50,IF(K5="drewno",U5*'Założenia,wskaźniki, listy'!$E$50,IF(K5="pelet",U5*'Założenia,wskaźniki, listy'!$F$50,IF(K5="olej opałowy",U5*'Założenia,wskaźniki, listy'!$G$50,IF(K5="sieć ciepłownicza",0,IF(K5="prąd",0,0)))))))</f>
        <v>0</v>
      </c>
      <c r="AC5" s="568">
        <f>IF(K5="węgiel",U5*Z!$C$44,IF(K5="gaz",U5*Z!$D$44,IF(K5="drewno",U5*Z!$E$44,IF(K5="pelet",U5*Z!$F$44,IF(K5="olej opałowy",U5*Z!$G$44,IF(K5="sieć ciepłownicza",0,IF(K5="prąd",0,0)))))))</f>
        <v>0</v>
      </c>
      <c r="AD5" s="568">
        <f>IF(K5="węgiel",U5*Z!$C$45,IF(K5="gaz",U5*Z!$D$45,IF(K5="drewno",U5*Z!$E$45,IF(K5="pelet",U5*Z!$F$45,IF(K5="olej opałowy",U5*Z!$G$45,IF(K5="sieć ciepłownicza",0,IF(K5="prąd",0,0)))))))</f>
        <v>0</v>
      </c>
      <c r="AE5" s="568">
        <f>IF(K5="węgiel",U5*Z!$C$46,IF(K5="gaz",U5*Z!$D$46,IF(K5="drewno",U5*Z!$E$46,IF(K5="pelet",U5*Z!$F$46,IF(K5="olej opałowy",U5*Z!$G$46,IF(K5="sieć ciepłownicza",0,IF(K5="prąd",0,0)))))))</f>
        <v>0</v>
      </c>
      <c r="AF5" s="568">
        <f>IF(K5="węgiel",U5*Z!$C$47,IF(K5="gaz",U5*Z!$D$47,IF(K5="drewno",U5*Z!$E$47,IF(K5="pelet",U5*Z!$F$47,IF(K5="olej opałowy",U5*Z!$G$47,IF(K5="sieć ciepłownicza",0,IF(K5="prąd",0,0)))))))</f>
        <v>0</v>
      </c>
      <c r="AG5" s="568">
        <f>IF(K5="węgiel",U5*Z!$C$48,IF(K5="gaz",U5*Z!$D$48,IF(K5="drewno",U5*Z!$E$48,IF(K5="pelet",U5*Z!$F$48,IF(K5="olej opałowy",U5*Z!$G$48,IF(K5="sieć ciepłownicza",0,IF(K5="prąd",0,0)))))))</f>
        <v>0</v>
      </c>
      <c r="AH5" s="568">
        <f>IF(K5="węgiel",U5*Z!$C$49,IF(K5="gaz",U5*Z!$D$49,IF(K5="drewno",U5*Z!$E$49,IF(K5="pelet",U5*Z!$F$49,IF(K5="olej opałowy",U5*Z!$G$49,IF(K5="sieć ciepłownicza",0,IF(K5="prąd",0,0)))))))</f>
        <v>0</v>
      </c>
      <c r="AI5" s="568">
        <f>IF(K5="węgiel",U5*Z!$C$50,IF(K5="gaz",U5*Z!$D$50,IF(K5="drewno",U5*Z!$E$50,IF(K5="pelet",U5*Z!$F$50,IF(K5="olej opałowy",U5*Z!$G$50,IF(K5="sieć ciepłownicza",0,IF(K5="prąd",0,0)))))))</f>
        <v>0</v>
      </c>
      <c r="AJ5" s="568">
        <f>IF(Q5="węgiel",T5*'Założenia,wskaźniki, listy'!$C$44,IF(Q5="gaz",T5*'Założenia,wskaźniki, listy'!$D$44,IF(Q5="drewno",T5*'Założenia,wskaźniki, listy'!$E$44,IF(Q5="pelet",T5*'Założenia,wskaźniki, listy'!$F$44,IF(Q5="olej opałowy",T5*'Założenia,wskaźniki, listy'!$G$44,IF(Q5="sieć ciepłownicza",0,IF(Q5="prąd",0,0)))))))</f>
        <v>0</v>
      </c>
      <c r="AK5" s="568">
        <f>IF(R5="węgiel",U5*'Założenia,wskaźniki, listy'!$C$45,IF(R5="gaz",U5*'Założenia,wskaźniki, listy'!$D$45,IF(R5="drewno",U5*'Założenia,wskaźniki, listy'!$E$45,IF(R5="pelet",U5*'Założenia,wskaźniki, listy'!$F$45,IF(R5="olej opałowy",U5*'Założenia,wskaźniki, listy'!$G$45,IF(R5="sieć ciepłownicza",0,IF(R5="prąd",0,0)))))))</f>
        <v>0</v>
      </c>
      <c r="AL5" s="568">
        <f>IF(R5="węgiel",U5*'Założenia,wskaźniki, listy'!$C$46,IF(R5="gaz",U5*'Założenia,wskaźniki, listy'!$D$46,IF(R5="drewno",U5*'Założenia,wskaźniki, listy'!$E$46,IF(R5="pelet",U5*'Założenia,wskaźniki, listy'!$F$46,IF(R5="olej opałowy",U5*'Założenia,wskaźniki, listy'!$G$46,IF(R5="sieć ciepłownicza",0,IF(R5="prąd",0,0)))))))</f>
        <v>0</v>
      </c>
      <c r="AM5" s="568">
        <f>IF(R5="węgiel",U5*'Założenia,wskaźniki, listy'!$C$47,IF(R5="gaz",U5*'Założenia,wskaźniki, listy'!$D$47,IF(R5="drewno",U5*'Założenia,wskaźniki, listy'!$E$47,IF(R5="pelet",U5*'Założenia,wskaźniki, listy'!$F$47,IF(R5="olej opałowy",U5*'Założenia,wskaźniki, listy'!$G$47,IF(R5="sieć ciepłownicza",0,IF(R5="prąd",0,0)))))))</f>
        <v>0</v>
      </c>
      <c r="AN5" s="568">
        <f>IF(R5="węgiel",U5*'Założenia,wskaźniki, listy'!$C$48,IF(R5="gaz",U5*'Założenia,wskaźniki, listy'!$D$48,IF(R5="drewno",U5*'Założenia,wskaźniki, listy'!$E$48,IF(R5="pelet",U5*'Założenia,wskaźniki, listy'!$F$48,IF(R5="olej opałowy",U5*'Założenia,wskaźniki, listy'!$G$48,IF(R5="sieć ciepłownicza",0,IF(R5="prąd",0,0)))))))</f>
        <v>0</v>
      </c>
      <c r="AO5" s="568">
        <f>IF(R5="węgiel",U5*'Założenia,wskaźniki, listy'!$C$49,IF(R5="gaz",U5*'Założenia,wskaźniki, listy'!$D$49,IF(R5="drewno",U5*'Założenia,wskaźniki, listy'!$E$49,IF(R5="pelet",U5*'Założenia,wskaźniki, listy'!$F$49,IF(R5="olej opałowy",U5*'Założenia,wskaźniki, listy'!$G$49,IF(R5="sieć ciepłownicza",0,IF(R5="prąd",0,0)))))))</f>
        <v>0</v>
      </c>
      <c r="AP5" s="568">
        <f>IF(R5="węgiel",U5*'Założenia,wskaźniki, listy'!$C$50,IF(R5="gaz",U5*'Założenia,wskaźniki, listy'!$D$50,IF(R5="drewno",U5*'Założenia,wskaźniki, listy'!$E$50,IF(R5="pelet",U5*'Założenia,wskaźniki, listy'!$F$50,IF(R5="olej opałowy",U5*'Założenia,wskaźniki, listy'!$G$50,IF(R5="sieć ciepłownicza",0,IF(R5="prąd",0,0)))))))</f>
        <v>0</v>
      </c>
      <c r="AQ5" s="568"/>
      <c r="AR5" s="568">
        <f t="shared" ref="AR5:AR18" si="2">AJ5+IF(P5&gt;=50,AC5,V5)</f>
        <v>0</v>
      </c>
      <c r="AS5" s="568">
        <f t="shared" ref="AS5:AS18" si="3">AK5+IF(P5&gt;=50,AD5,W5)</f>
        <v>0</v>
      </c>
      <c r="AT5" s="568">
        <f>IF(Q5="energia el.",(IF(P5&gt;=50,AE5,X5)+AQ5*Z!$J$46),(IF(P5&gt;=50,AE5,X5)+AQ5*Z!$J$46))</f>
        <v>0</v>
      </c>
      <c r="AU5" s="568">
        <f t="shared" ref="AU5:AU18" si="4">AM5+IF(P5&gt;=50,AF5,Y5)</f>
        <v>0</v>
      </c>
      <c r="AV5" s="568">
        <f t="shared" ref="AV5:AV18" si="5">AN5+IF(P5&gt;=50,AG5,Z5)</f>
        <v>0</v>
      </c>
      <c r="AW5" s="568">
        <f t="shared" ref="AW5:AW18" si="6">AO5+IF(P5&gt;=50,AH5,AA5)</f>
        <v>0</v>
      </c>
      <c r="AX5" s="568">
        <f t="shared" ref="AX5:AX18" si="7">AP5+IF(P5&gt;=50,AI5,AB5)</f>
        <v>0</v>
      </c>
      <c r="AY5" s="88"/>
      <c r="AZ5" s="567"/>
      <c r="BA5" s="564"/>
      <c r="BB5" s="567"/>
      <c r="BC5" s="567"/>
      <c r="BD5" s="567"/>
      <c r="BE5" s="567"/>
      <c r="BF5" s="567"/>
      <c r="BG5" s="567"/>
      <c r="BH5" s="520"/>
      <c r="BI5" s="326">
        <f t="shared" ref="BI5:BI18" si="8">IF(P5&lt;50,U5)</f>
        <v>0</v>
      </c>
      <c r="BJ5" s="319">
        <f t="shared" ref="BJ5:BJ18" si="9">IF(E5&lt;=1966,F5)</f>
        <v>0</v>
      </c>
      <c r="BK5" s="319" t="b">
        <f t="shared" ref="BK5:BK18" si="10">IF(J5="kompletna",BJ5,IF(J5="częściowa",0.5*BJ5))</f>
        <v>0</v>
      </c>
      <c r="BL5" s="319" t="b">
        <f t="shared" ref="BL5:BL18" si="11">IF(E5&gt;1966,IF(E5&lt;=1985,F5))</f>
        <v>0</v>
      </c>
      <c r="BM5" s="319" t="b">
        <f t="shared" ref="BM5:BM18" si="12">IF(J5="kompletna",BL5,IF(J5="częściowa",0.5*BL5))</f>
        <v>0</v>
      </c>
      <c r="BN5" s="319" t="b">
        <f t="shared" ref="BN5:BN18" si="13">IF(E5&gt;1985,IF(E5&lt;=1992,F5))</f>
        <v>0</v>
      </c>
      <c r="BO5" s="319" t="b">
        <f t="shared" ref="BO5:BO18" si="14">IF(J5="kompletna",BN5,IF(J5="częściowa",0.5*BN5))</f>
        <v>0</v>
      </c>
      <c r="BP5" s="319" t="b">
        <f t="shared" ref="BP5:BP18" si="15">IF(E5&gt;1992,IF(E5&lt;=1996,F5))</f>
        <v>0</v>
      </c>
      <c r="BQ5" s="319" t="b">
        <f t="shared" ref="BQ5:BQ18" si="16">IF(J5="kompletna",BP5,IF(J5="częściowa",0.5*BP5))</f>
        <v>0</v>
      </c>
      <c r="BR5" s="319" t="b">
        <f t="shared" ref="BR5:BR18" si="17">IF(E5&gt;1996,IF(E5&lt;=2014,F5))</f>
        <v>0</v>
      </c>
      <c r="BS5" s="319" t="b">
        <f t="shared" ref="BS5:BS18" si="18">IF(J5="kompletna",BR5,IF(J5="częściowa",0.5*BR5))</f>
        <v>0</v>
      </c>
      <c r="BT5" s="319" t="b">
        <f t="shared" ref="BT5:BT18" si="19">IF(K5="węgiel",U5)</f>
        <v>0</v>
      </c>
      <c r="BU5" s="319" t="b">
        <f t="shared" ref="BU5:BU18" si="20">IF(K5="gaz",R5)</f>
        <v>0</v>
      </c>
      <c r="BV5" s="319" t="b">
        <f t="shared" ref="BV5:BV18" si="21">IF(K5="drewno",U5)</f>
        <v>0</v>
      </c>
      <c r="BW5" s="319" t="b">
        <f t="shared" ref="BW5:BW18" si="22">IF(K5="pelet",U5)</f>
        <v>0</v>
      </c>
      <c r="BX5" s="319" t="b">
        <f t="shared" ref="BX5:BX18" si="23">IF(K5="olej opałowy",U5)</f>
        <v>0</v>
      </c>
      <c r="BY5" s="319" t="b">
        <f t="shared" ref="BY5:BY18" si="24">IF(K5="energia el.",R5)</f>
        <v>0</v>
      </c>
      <c r="BZ5" s="319" t="b">
        <f t="shared" ref="BZ5:BZ18" si="25">IF(Q5="węgiel",T5)</f>
        <v>0</v>
      </c>
      <c r="CA5" s="319" t="b">
        <f t="shared" ref="CA5:CA18" si="26">IF(Q5="gaz",T5)</f>
        <v>0</v>
      </c>
      <c r="CB5" s="319" t="b">
        <f t="shared" ref="CB5:CB18" si="27">IF(Q5="drewno",T5)</f>
        <v>0</v>
      </c>
      <c r="CC5" s="319" t="b">
        <f t="shared" ref="CC5:CC18" si="28">IF(Q5="pelet",T5)</f>
        <v>0</v>
      </c>
      <c r="CD5" s="319" t="b">
        <f t="shared" ref="CD5:CD18" si="29">IF(Q5="olej opałowy",T5)</f>
        <v>0</v>
      </c>
      <c r="CE5" s="319" t="b">
        <f t="shared" ref="CE5:CE18" si="30">IF(Q5="energia el.",T5)</f>
        <v>0</v>
      </c>
    </row>
    <row r="6" spans="1:84">
      <c r="A6" s="531">
        <v>2</v>
      </c>
      <c r="B6" s="584"/>
      <c r="C6" s="503" t="s">
        <v>175</v>
      </c>
      <c r="D6" s="566"/>
      <c r="E6" s="566"/>
      <c r="F6" s="566"/>
      <c r="G6" s="88"/>
      <c r="H6" s="88"/>
      <c r="I6" s="88">
        <f>IF(E6&lt;=1966,'Założenia,wskaźniki, listy'!$H$4,IF(E6&gt;1966,IF(E6&lt;=1985,'Założenia,wskaźniki, listy'!$H$5,IF(E6&gt;1985,IF(E6&lt;=1992,'Założenia,wskaźniki, listy'!$H$6,IF(E6&gt;1992,IF(E6&lt;=1996,'Założenia,wskaźniki, listy'!$H$7,IF(E6&gt;1996,IF(E6&lt;=2013,'Założenia,wskaźniki, listy'!$H$8)))))))))</f>
        <v>290</v>
      </c>
      <c r="J6" s="88"/>
      <c r="K6" s="88"/>
      <c r="L6" s="88"/>
      <c r="M6" s="567"/>
      <c r="N6" s="567"/>
      <c r="O6" s="567"/>
      <c r="P6" s="567"/>
      <c r="Q6" s="88"/>
      <c r="R6" s="282">
        <f t="shared" si="1"/>
        <v>0</v>
      </c>
      <c r="S6" s="568">
        <f>IF(J6="kompletna",I6*F6*0.0036*'Założenia,wskaźniki, listy'!$C$15,IF(J6="częściowa",I6*F6*0.0036*'Założenia,wskaźniki, listy'!$C$16,IF(J6="brak",I6*F6*0.0036*'Założenia,wskaźniki, listy'!$C$17,0)))</f>
        <v>0</v>
      </c>
      <c r="T6" s="568">
        <f>G6*'Założenia,wskaźniki, listy'!$L$15</f>
        <v>0</v>
      </c>
      <c r="U6" s="594">
        <f>IF(K6="węgiel",L6*'Założenia,wskaźniki, listy'!$B$4,IF(K6="gaz",L6*'Założenia,wskaźniki, listy'!$B$5,IF(K6="drewno",L6*'Założenia,wskaźniki, listy'!$B$6,IF(K6="pelet",L6*'Założenia,wskaźniki, listy'!$B$7,IF(K6="olej opałowy",L6*'Założenia,wskaźniki, listy'!$B$8,IF(K6="sieć ciepłownicza",0,0))))))</f>
        <v>0</v>
      </c>
      <c r="V6" s="568">
        <f>IF(K6="węgiel",U6*'Założenia,wskaźniki, listy'!$C$44,IF(K6="gaz",U6*'Założenia,wskaźniki, listy'!$D$44,IF(K6="drewno",U6*'Założenia,wskaźniki, listy'!$E$44,IF(K6="pelet",U6*'Założenia,wskaźniki, listy'!$F$44,IF(K6="olej opałowy",U6*'Założenia,wskaźniki, listy'!$G$44,IF(K6="sieć ciepłownicza",0,IF(K6="prąd",0,0)))))))</f>
        <v>0</v>
      </c>
      <c r="W6" s="568">
        <f>IF(K6="węgiel",U6*'Założenia,wskaźniki, listy'!$C$45,IF(K6="gaz",U6*'Założenia,wskaźniki, listy'!$D$45,IF(K6="drewno",U6*'Założenia,wskaźniki, listy'!$E$45,IF(K6="pelet",U6*'Założenia,wskaźniki, listy'!$F$45,IF(K6="olej opałowy",U6*'Założenia,wskaźniki, listy'!$G$45,IF(K6="sieć ciepłownicza",0,IF(K6="prąd",0,0)))))))</f>
        <v>0</v>
      </c>
      <c r="X6" s="568">
        <f>IF(K6="węgiel",U6*'Założenia,wskaźniki, listy'!$C$46,IF(K6="gaz",U6*'Założenia,wskaźniki, listy'!$D$46,IF(K6="drewno",U6*'Założenia,wskaźniki, listy'!$E$46,IF(K6="pelet",U6*'Założenia,wskaźniki, listy'!$F$46,IF(K6="olej opałowy",U6*'Założenia,wskaźniki, listy'!$G$46,IF(K6="sieć ciepłownicza",0,IF(K6="prąd",0,0)))))))</f>
        <v>0</v>
      </c>
      <c r="Y6" s="568">
        <f>IF(K6="węgiel",U6*'Założenia,wskaźniki, listy'!$C$47,IF(K6="gaz",U6*'Założenia,wskaźniki, listy'!$D$47,IF(K6="drewno",U6*'Założenia,wskaźniki, listy'!$E$47,IF(K6="pelet",U6*'Założenia,wskaźniki, listy'!$F$47,IF(K6="olej opałowy",U6*'Założenia,wskaźniki, listy'!$G$47,IF(K6="sieć ciepłownicza",0,IF(K6="prąd",0,0)))))))</f>
        <v>0</v>
      </c>
      <c r="Z6" s="568">
        <f>IF(K6="węgiel",U6*'Założenia,wskaźniki, listy'!$C$48,IF(K6="gaz",U6*'Założenia,wskaźniki, listy'!$D$48,IF(K6="drewno",U6*'Założenia,wskaźniki, listy'!$E$48,IF(K6="pelet",U6*'Założenia,wskaźniki, listy'!$F$48,IF(K6="olej opałowy",U6*'Założenia,wskaźniki, listy'!$G$48,IF(K6="sieć ciepłownicza",0,IF(K6="prąd",0,0)))))))</f>
        <v>0</v>
      </c>
      <c r="AA6" s="568">
        <f>IF(K6="węgiel",U6*'Założenia,wskaźniki, listy'!$C$49,IF(K6="gaz",U6*'Założenia,wskaźniki, listy'!$D$49,IF(K6="drewno",U6*'Założenia,wskaźniki, listy'!$E$49,IF(K6="pelet",U6*'Założenia,wskaźniki, listy'!$F$49,IF(K6="olej opałowy",U6*'Założenia,wskaźniki, listy'!$G$49,IF(K6="sieć ciepłownicza",0,IF(K6="prąd",0,0)))))))</f>
        <v>0</v>
      </c>
      <c r="AB6" s="568">
        <f>IF(K6="węgiel",U6*'Założenia,wskaźniki, listy'!$C$50,IF(K6="gaz",U6*'Założenia,wskaźniki, listy'!$D$50,IF(K6="drewno",U6*'Założenia,wskaźniki, listy'!$E$50,IF(K6="pelet",U6*'Założenia,wskaźniki, listy'!$F$50,IF(K6="olej opałowy",U6*'Założenia,wskaźniki, listy'!$G$50,IF(K6="sieć ciepłownicza",0,IF(K6="prąd",0,0)))))))</f>
        <v>0</v>
      </c>
      <c r="AC6" s="568">
        <f>IF(K6="węgiel",U6*Z!$C$44,IF(K6="gaz",U6*Z!$D$44,IF(K6="drewno",U6*Z!$E$44,IF(K6="pelet",U6*Z!$F$44,IF(K6="olej opałowy",U6*Z!$G$44,IF(K6="sieć ciepłownicza",0,IF(K6="prąd",0,0)))))))</f>
        <v>0</v>
      </c>
      <c r="AD6" s="568">
        <f>IF(K6="węgiel",U6*Z!$C$45,IF(K6="gaz",U6*Z!$D$45,IF(K6="drewno",U6*Z!$E$45,IF(K6="pelet",U6*Z!$F$45,IF(K6="olej opałowy",U6*Z!$G$45,IF(K6="sieć ciepłownicza",0,IF(K6="prąd",0,0)))))))</f>
        <v>0</v>
      </c>
      <c r="AE6" s="568">
        <f>IF(K6="węgiel",U6*Z!$C$46,IF(K6="gaz",U6*Z!$D$46,IF(K6="drewno",U6*Z!$E$46,IF(K6="pelet",U6*Z!$F$46,IF(K6="olej opałowy",U6*Z!$G$46,IF(K6="sieć ciepłownicza",0,IF(K6="prąd",0,0)))))))</f>
        <v>0</v>
      </c>
      <c r="AF6" s="568">
        <f>IF(K6="węgiel",U6*Z!$C$47,IF(K6="gaz",U6*Z!$D$47,IF(K6="drewno",U6*Z!$E$47,IF(K6="pelet",U6*Z!$F$47,IF(K6="olej opałowy",U6*Z!$G$47,IF(K6="sieć ciepłownicza",0,IF(K6="prąd",0,0)))))))</f>
        <v>0</v>
      </c>
      <c r="AG6" s="568">
        <f>IF(K6="węgiel",U6*Z!$C$48,IF(K6="gaz",U6*Z!$D$48,IF(K6="drewno",U6*Z!$E$48,IF(K6="pelet",U6*Z!$F$48,IF(K6="olej opałowy",U6*Z!$G$48,IF(K6="sieć ciepłownicza",0,IF(K6="prąd",0,0)))))))</f>
        <v>0</v>
      </c>
      <c r="AH6" s="568">
        <f>IF(K6="węgiel",U6*Z!$C$49,IF(K6="gaz",U6*Z!$D$49,IF(K6="drewno",U6*Z!$E$49,IF(K6="pelet",U6*Z!$F$49,IF(K6="olej opałowy",U6*Z!$G$49,IF(K6="sieć ciepłownicza",0,IF(K6="prąd",0,0)))))))</f>
        <v>0</v>
      </c>
      <c r="AI6" s="568">
        <f>IF(K6="węgiel",U6*Z!$C$50,IF(K6="gaz",U6*Z!$D$50,IF(K6="drewno",U6*Z!$E$50,IF(K6="pelet",U6*Z!$F$50,IF(K6="olej opałowy",U6*Z!$G$50,IF(K6="sieć ciepłownicza",0,IF(K6="prąd",0,0)))))))</f>
        <v>0</v>
      </c>
      <c r="AJ6" s="568">
        <f>IF(Q6="węgiel",T6*'Założenia,wskaźniki, listy'!$C$44,IF(Q6="gaz",T6*'Założenia,wskaźniki, listy'!$D$44,IF(Q6="drewno",T6*'Założenia,wskaźniki, listy'!$E$44,IF(Q6="pelet",T6*'Założenia,wskaźniki, listy'!$F$44,IF(Q6="olej opałowy",T6*'Założenia,wskaźniki, listy'!$G$44,IF(Q6="sieć ciepłownicza",0,IF(Q6="prąd",0,0)))))))</f>
        <v>0</v>
      </c>
      <c r="AK6" s="568">
        <f>IF(R6="węgiel",U6*'Założenia,wskaźniki, listy'!$C$45,IF(R6="gaz",U6*'Założenia,wskaźniki, listy'!$D$45,IF(R6="drewno",U6*'Założenia,wskaźniki, listy'!$E$45,IF(R6="pelet",U6*'Założenia,wskaźniki, listy'!$F$45,IF(R6="olej opałowy",U6*'Założenia,wskaźniki, listy'!$G$45,IF(R6="sieć ciepłownicza",0,IF(R6="prąd",0,0)))))))</f>
        <v>0</v>
      </c>
      <c r="AL6" s="568">
        <f>IF(R6="węgiel",U6*'Założenia,wskaźniki, listy'!$C$46,IF(R6="gaz",U6*'Założenia,wskaźniki, listy'!$D$46,IF(R6="drewno",U6*'Założenia,wskaźniki, listy'!$E$46,IF(R6="pelet",U6*'Założenia,wskaźniki, listy'!$F$46,IF(R6="olej opałowy",U6*'Założenia,wskaźniki, listy'!$G$46,IF(R6="sieć ciepłownicza",0,IF(R6="prąd",0,0)))))))</f>
        <v>0</v>
      </c>
      <c r="AM6" s="568">
        <f>IF(R6="węgiel",U6*'Założenia,wskaźniki, listy'!$C$47,IF(R6="gaz",U6*'Założenia,wskaźniki, listy'!$D$47,IF(R6="drewno",U6*'Założenia,wskaźniki, listy'!$E$47,IF(R6="pelet",U6*'Założenia,wskaźniki, listy'!$F$47,IF(R6="olej opałowy",U6*'Założenia,wskaźniki, listy'!$G$47,IF(R6="sieć ciepłownicza",0,IF(R6="prąd",0,0)))))))</f>
        <v>0</v>
      </c>
      <c r="AN6" s="568">
        <f>IF(R6="węgiel",U6*'Założenia,wskaźniki, listy'!$C$48,IF(R6="gaz",U6*'Założenia,wskaźniki, listy'!$D$48,IF(R6="drewno",U6*'Założenia,wskaźniki, listy'!$E$48,IF(R6="pelet",U6*'Założenia,wskaźniki, listy'!$F$48,IF(R6="olej opałowy",U6*'Założenia,wskaźniki, listy'!$G$48,IF(R6="sieć ciepłownicza",0,IF(R6="prąd",0,0)))))))</f>
        <v>0</v>
      </c>
      <c r="AO6" s="568">
        <f>IF(R6="węgiel",U6*'Założenia,wskaźniki, listy'!$C$49,IF(R6="gaz",U6*'Założenia,wskaźniki, listy'!$D$49,IF(R6="drewno",U6*'Założenia,wskaźniki, listy'!$E$49,IF(R6="pelet",U6*'Założenia,wskaźniki, listy'!$F$49,IF(R6="olej opałowy",U6*'Założenia,wskaźniki, listy'!$G$49,IF(R6="sieć ciepłownicza",0,IF(R6="prąd",0,0)))))))</f>
        <v>0</v>
      </c>
      <c r="AP6" s="568">
        <f>IF(R6="węgiel",U6*'Założenia,wskaźniki, listy'!$C$50,IF(R6="gaz",U6*'Założenia,wskaźniki, listy'!$D$50,IF(R6="drewno",U6*'Założenia,wskaźniki, listy'!$E$50,IF(R6="pelet",U6*'Założenia,wskaźniki, listy'!$F$50,IF(R6="olej opałowy",U6*'Założenia,wskaźniki, listy'!$G$50,IF(R6="sieć ciepłownicza",0,IF(R6="prąd",0,0)))))))</f>
        <v>0</v>
      </c>
      <c r="AQ6" s="568"/>
      <c r="AR6" s="568">
        <f t="shared" si="2"/>
        <v>0</v>
      </c>
      <c r="AS6" s="568">
        <f t="shared" si="3"/>
        <v>0</v>
      </c>
      <c r="AT6" s="568">
        <f>IF(Q6="energia el.",(IF(P6&gt;=50,AE6,X6)+AQ6*Z!$J$46),(IF(P6&gt;=50,AE6,X6)+AQ6*Z!$J$46))</f>
        <v>0</v>
      </c>
      <c r="AU6" s="568">
        <f t="shared" si="4"/>
        <v>0</v>
      </c>
      <c r="AV6" s="568">
        <f t="shared" si="5"/>
        <v>0</v>
      </c>
      <c r="AW6" s="568">
        <f t="shared" si="6"/>
        <v>0</v>
      </c>
      <c r="AX6" s="568">
        <f t="shared" si="7"/>
        <v>0</v>
      </c>
      <c r="AY6" s="88"/>
      <c r="AZ6" s="567"/>
      <c r="BA6" s="564"/>
      <c r="BB6" s="567"/>
      <c r="BC6" s="567"/>
      <c r="BD6" s="567"/>
      <c r="BE6" s="567"/>
      <c r="BF6" s="567"/>
      <c r="BG6" s="567"/>
      <c r="BH6" s="520"/>
      <c r="BI6" s="326">
        <f t="shared" si="8"/>
        <v>0</v>
      </c>
      <c r="BJ6" s="319">
        <f t="shared" si="9"/>
        <v>0</v>
      </c>
      <c r="BK6" s="319" t="b">
        <f t="shared" si="10"/>
        <v>0</v>
      </c>
      <c r="BL6" s="319" t="b">
        <f t="shared" si="11"/>
        <v>0</v>
      </c>
      <c r="BM6" s="319" t="b">
        <f t="shared" si="12"/>
        <v>0</v>
      </c>
      <c r="BN6" s="319" t="b">
        <f t="shared" si="13"/>
        <v>0</v>
      </c>
      <c r="BO6" s="319" t="b">
        <f t="shared" si="14"/>
        <v>0</v>
      </c>
      <c r="BP6" s="319" t="b">
        <f t="shared" si="15"/>
        <v>0</v>
      </c>
      <c r="BQ6" s="319" t="b">
        <f t="shared" si="16"/>
        <v>0</v>
      </c>
      <c r="BR6" s="319" t="b">
        <f t="shared" si="17"/>
        <v>0</v>
      </c>
      <c r="BS6" s="319" t="b">
        <f t="shared" si="18"/>
        <v>0</v>
      </c>
      <c r="BT6" s="319" t="b">
        <f t="shared" si="19"/>
        <v>0</v>
      </c>
      <c r="BU6" s="319" t="b">
        <f t="shared" si="20"/>
        <v>0</v>
      </c>
      <c r="BV6" s="319" t="b">
        <f t="shared" si="21"/>
        <v>0</v>
      </c>
      <c r="BW6" s="319" t="b">
        <f t="shared" si="22"/>
        <v>0</v>
      </c>
      <c r="BX6" s="319" t="b">
        <f t="shared" si="23"/>
        <v>0</v>
      </c>
      <c r="BY6" s="319" t="b">
        <f t="shared" si="24"/>
        <v>0</v>
      </c>
      <c r="BZ6" s="319" t="b">
        <f t="shared" si="25"/>
        <v>0</v>
      </c>
      <c r="CA6" s="319" t="b">
        <f t="shared" si="26"/>
        <v>0</v>
      </c>
      <c r="CB6" s="319" t="b">
        <f t="shared" si="27"/>
        <v>0</v>
      </c>
      <c r="CC6" s="319" t="b">
        <f t="shared" si="28"/>
        <v>0</v>
      </c>
      <c r="CD6" s="319" t="b">
        <f t="shared" si="29"/>
        <v>0</v>
      </c>
      <c r="CE6" s="319" t="b">
        <f t="shared" si="30"/>
        <v>0</v>
      </c>
    </row>
    <row r="7" spans="1:84">
      <c r="A7" s="531">
        <v>3</v>
      </c>
      <c r="B7" s="584"/>
      <c r="C7" s="503" t="s">
        <v>175</v>
      </c>
      <c r="D7" s="566"/>
      <c r="E7" s="566"/>
      <c r="F7" s="566"/>
      <c r="G7" s="88"/>
      <c r="H7" s="88"/>
      <c r="I7" s="88">
        <f>IF(E7&lt;=1966,'Założenia,wskaźniki, listy'!$H$4,IF(E7&gt;1966,IF(E7&lt;=1985,'Założenia,wskaźniki, listy'!$H$5,IF(E7&gt;1985,IF(E7&lt;=1992,'Założenia,wskaźniki, listy'!$H$6,IF(E7&gt;1992,IF(E7&lt;=1996,'Założenia,wskaźniki, listy'!$H$7,IF(E7&gt;1996,IF(E7&lt;=2013,'Założenia,wskaźniki, listy'!$H$8)))))))))</f>
        <v>290</v>
      </c>
      <c r="J7" s="88"/>
      <c r="K7" s="88"/>
      <c r="L7" s="88"/>
      <c r="M7" s="567"/>
      <c r="N7" s="567"/>
      <c r="O7" s="567"/>
      <c r="P7" s="567"/>
      <c r="Q7" s="88"/>
      <c r="R7" s="282">
        <f>IF(S7&gt;0,(T7+U7+S7)/2,T7+U7)</f>
        <v>0</v>
      </c>
      <c r="S7" s="568">
        <f>IF(J7="kompletna",I7*F7*0.0036*'Założenia,wskaźniki, listy'!$C$15,IF(J7="częściowa",I7*F7*0.0036*'Założenia,wskaźniki, listy'!$C$16,IF(J7="brak",I7*F7*0.0036*'Założenia,wskaźniki, listy'!$C$17,0)))</f>
        <v>0</v>
      </c>
      <c r="T7" s="568">
        <f>G7*'Założenia,wskaźniki, listy'!$L$15</f>
        <v>0</v>
      </c>
      <c r="U7" s="594">
        <f>IF(K7="węgiel",L7*'Założenia,wskaźniki, listy'!$B$4,IF(K7="gaz",L7*'Założenia,wskaźniki, listy'!$B$5,IF(K7="drewno",L7*'Założenia,wskaźniki, listy'!$B$6,IF(K7="pelet",L7*'Założenia,wskaźniki, listy'!$B$7,IF(K7="olej opałowy",L7*'Założenia,wskaźniki, listy'!$B$8,IF(K7="sieć ciepłownicza",0,0))))))</f>
        <v>0</v>
      </c>
      <c r="V7" s="568">
        <f>IF(K7="węgiel",U7*'Założenia,wskaźniki, listy'!$C$44,IF(K7="gaz",U7*'Założenia,wskaźniki, listy'!$D$44,IF(K7="drewno",U7*'Założenia,wskaźniki, listy'!$E$44,IF(K7="pelet",U7*'Założenia,wskaźniki, listy'!$F$44,IF(K7="olej opałowy",U7*'Założenia,wskaźniki, listy'!$G$44,IF(K7="sieć ciepłownicza",0,IF(K7="prąd",0,0)))))))</f>
        <v>0</v>
      </c>
      <c r="W7" s="568">
        <f>IF(K7="węgiel",U7*'Założenia,wskaźniki, listy'!$C$45,IF(K7="gaz",U7*'Założenia,wskaźniki, listy'!$D$45,IF(K7="drewno",U7*'Założenia,wskaźniki, listy'!$E$45,IF(K7="pelet",U7*'Założenia,wskaźniki, listy'!$F$45,IF(K7="olej opałowy",U7*'Założenia,wskaźniki, listy'!$G$45,IF(K7="sieć ciepłownicza",0,IF(K7="prąd",0,0)))))))</f>
        <v>0</v>
      </c>
      <c r="X7" s="568">
        <f>IF(K7="węgiel",U7*'Założenia,wskaźniki, listy'!$C$46,IF(K7="gaz",U7*'Założenia,wskaźniki, listy'!$D$46,IF(K7="drewno",U7*'Założenia,wskaźniki, listy'!$E$46,IF(K7="pelet",U7*'Założenia,wskaźniki, listy'!$F$46,IF(K7="olej opałowy",U7*'Założenia,wskaźniki, listy'!$G$46,IF(K7="sieć ciepłownicza",0,IF(K7="prąd",0,0)))))))</f>
        <v>0</v>
      </c>
      <c r="Y7" s="568">
        <f>IF(K7="węgiel",U7*'Założenia,wskaźniki, listy'!$C$47,IF(K7="gaz",U7*'Założenia,wskaźniki, listy'!$D$47,IF(K7="drewno",U7*'Założenia,wskaźniki, listy'!$E$47,IF(K7="pelet",U7*'Założenia,wskaźniki, listy'!$F$47,IF(K7="olej opałowy",U7*'Założenia,wskaźniki, listy'!$G$47,IF(K7="sieć ciepłownicza",0,IF(K7="prąd",0,0)))))))</f>
        <v>0</v>
      </c>
      <c r="Z7" s="568">
        <f>IF(K7="węgiel",U7*'Założenia,wskaźniki, listy'!$C$48,IF(K7="gaz",U7*'Założenia,wskaźniki, listy'!$D$48,IF(K7="drewno",U7*'Założenia,wskaźniki, listy'!$E$48,IF(K7="pelet",U7*'Założenia,wskaźniki, listy'!$F$48,IF(K7="olej opałowy",U7*'Założenia,wskaźniki, listy'!$G$48,IF(K7="sieć ciepłownicza",0,IF(K7="prąd",0,0)))))))</f>
        <v>0</v>
      </c>
      <c r="AA7" s="568">
        <f>IF(K7="węgiel",U7*'Założenia,wskaźniki, listy'!$C$49,IF(K7="gaz",U7*'Założenia,wskaźniki, listy'!$D$49,IF(K7="drewno",U7*'Założenia,wskaźniki, listy'!$E$49,IF(K7="pelet",U7*'Założenia,wskaźniki, listy'!$F$49,IF(K7="olej opałowy",U7*'Założenia,wskaźniki, listy'!$G$49,IF(K7="sieć ciepłownicza",0,IF(K7="prąd",0,0)))))))</f>
        <v>0</v>
      </c>
      <c r="AB7" s="568">
        <f>IF(K7="węgiel",U7*'Założenia,wskaźniki, listy'!$C$50,IF(K7="gaz",U7*'Założenia,wskaźniki, listy'!$D$50,IF(K7="drewno",U7*'Założenia,wskaźniki, listy'!$E$50,IF(K7="pelet",U7*'Założenia,wskaźniki, listy'!$F$50,IF(K7="olej opałowy",U7*'Założenia,wskaźniki, listy'!$G$50,IF(K7="sieć ciepłownicza",0,IF(K7="prąd",0,0)))))))</f>
        <v>0</v>
      </c>
      <c r="AC7" s="568">
        <f>IF(K7="węgiel",U7*Z!$C$44,IF(K7="gaz",U7*Z!$D$44,IF(K7="drewno",U7*Z!$E$44,IF(K7="pelet",U7*Z!$F$44,IF(K7="olej opałowy",U7*Z!$G$44,IF(K7="sieć ciepłownicza",0,IF(K7="prąd",0,0)))))))</f>
        <v>0</v>
      </c>
      <c r="AD7" s="568">
        <f>IF(K7="węgiel",U7*Z!$C$45,IF(K7="gaz",U7*Z!$D$45,IF(K7="drewno",U7*Z!$E$45,IF(K7="pelet",U7*Z!$F$45,IF(K7="olej opałowy",U7*Z!$G$45,IF(K7="sieć ciepłownicza",0,IF(K7="prąd",0,0)))))))</f>
        <v>0</v>
      </c>
      <c r="AE7" s="568">
        <f>IF(K7="węgiel",U7*Z!$C$46,IF(K7="gaz",U7*Z!$D$46,IF(K7="drewno",U7*Z!$E$46,IF(K7="pelet",U7*Z!$F$46,IF(K7="olej opałowy",U7*Z!$G$46,IF(K7="sieć ciepłownicza",0,IF(K7="prąd",0,0)))))))</f>
        <v>0</v>
      </c>
      <c r="AF7" s="568">
        <f>IF(K7="węgiel",U7*Z!$C$47,IF(K7="gaz",U7*Z!$D$47,IF(K7="drewno",U7*Z!$E$47,IF(K7="pelet",U7*Z!$F$47,IF(K7="olej opałowy",U7*Z!$G$47,IF(K7="sieć ciepłownicza",0,IF(K7="prąd",0,0)))))))</f>
        <v>0</v>
      </c>
      <c r="AG7" s="568">
        <f>IF(K7="węgiel",U7*Z!$C$48,IF(K7="gaz",U7*Z!$D$48,IF(K7="drewno",U7*Z!$E$48,IF(K7="pelet",U7*Z!$F$48,IF(K7="olej opałowy",U7*Z!$G$48,IF(K7="sieć ciepłownicza",0,IF(K7="prąd",0,0)))))))</f>
        <v>0</v>
      </c>
      <c r="AH7" s="568">
        <f>IF(K7="węgiel",U7*Z!$C$49,IF(K7="gaz",U7*Z!$D$49,IF(K7="drewno",U7*Z!$E$49,IF(K7="pelet",U7*Z!$F$49,IF(K7="olej opałowy",U7*Z!$G$49,IF(K7="sieć ciepłownicza",0,IF(K7="prąd",0,0)))))))</f>
        <v>0</v>
      </c>
      <c r="AI7" s="568">
        <f>IF(K7="węgiel",U7*Z!$C$50,IF(K7="gaz",U7*Z!$D$50,IF(K7="drewno",U7*Z!$E$50,IF(K7="pelet",U7*Z!$F$50,IF(K7="olej opałowy",U7*Z!$G$50,IF(K7="sieć ciepłownicza",0,IF(K7="prąd",0,0)))))))</f>
        <v>0</v>
      </c>
      <c r="AJ7" s="568">
        <f>IF(Q7="węgiel",T7*'Założenia,wskaźniki, listy'!$C$44,IF(Q7="gaz",T7*'Założenia,wskaźniki, listy'!$D$44,IF(Q7="drewno",T7*'Założenia,wskaźniki, listy'!$E$44,IF(Q7="pelet",T7*'Założenia,wskaźniki, listy'!$F$44,IF(Q7="olej opałowy",T7*'Założenia,wskaźniki, listy'!$G$44,IF(Q7="sieć ciepłownicza",0,IF(Q7="prąd",0,0)))))))</f>
        <v>0</v>
      </c>
      <c r="AK7" s="568">
        <f>IF(R7="węgiel",U7*'Założenia,wskaźniki, listy'!$C$45,IF(R7="gaz",U7*'Założenia,wskaźniki, listy'!$D$45,IF(R7="drewno",U7*'Założenia,wskaźniki, listy'!$E$45,IF(R7="pelet",U7*'Założenia,wskaźniki, listy'!$F$45,IF(R7="olej opałowy",U7*'Założenia,wskaźniki, listy'!$G$45,IF(R7="sieć ciepłownicza",0,IF(R7="prąd",0,0)))))))</f>
        <v>0</v>
      </c>
      <c r="AL7" s="568">
        <f>IF(R7="węgiel",U7*'Założenia,wskaźniki, listy'!$C$46,IF(R7="gaz",U7*'Założenia,wskaźniki, listy'!$D$46,IF(R7="drewno",U7*'Założenia,wskaźniki, listy'!$E$46,IF(R7="pelet",U7*'Założenia,wskaźniki, listy'!$F$46,IF(R7="olej opałowy",U7*'Założenia,wskaźniki, listy'!$G$46,IF(R7="sieć ciepłownicza",0,IF(R7="prąd",0,0)))))))</f>
        <v>0</v>
      </c>
      <c r="AM7" s="568">
        <f>IF(R7="węgiel",U7*'Założenia,wskaźniki, listy'!$C$47,IF(R7="gaz",U7*'Założenia,wskaźniki, listy'!$D$47,IF(R7="drewno",U7*'Założenia,wskaźniki, listy'!$E$47,IF(R7="pelet",U7*'Założenia,wskaźniki, listy'!$F$47,IF(R7="olej opałowy",U7*'Założenia,wskaźniki, listy'!$G$47,IF(R7="sieć ciepłownicza",0,IF(R7="prąd",0,0)))))))</f>
        <v>0</v>
      </c>
      <c r="AN7" s="568">
        <f>IF(R7="węgiel",U7*'Założenia,wskaźniki, listy'!$C$48,IF(R7="gaz",U7*'Założenia,wskaźniki, listy'!$D$48,IF(R7="drewno",U7*'Założenia,wskaźniki, listy'!$E$48,IF(R7="pelet",U7*'Założenia,wskaźniki, listy'!$F$48,IF(R7="olej opałowy",U7*'Założenia,wskaźniki, listy'!$G$48,IF(R7="sieć ciepłownicza",0,IF(R7="prąd",0,0)))))))</f>
        <v>0</v>
      </c>
      <c r="AO7" s="568">
        <f>IF(R7="węgiel",U7*'Założenia,wskaźniki, listy'!$C$49,IF(R7="gaz",U7*'Założenia,wskaźniki, listy'!$D$49,IF(R7="drewno",U7*'Założenia,wskaźniki, listy'!$E$49,IF(R7="pelet",U7*'Założenia,wskaźniki, listy'!$F$49,IF(R7="olej opałowy",U7*'Założenia,wskaźniki, listy'!$G$49,IF(R7="sieć ciepłownicza",0,IF(R7="prąd",0,0)))))))</f>
        <v>0</v>
      </c>
      <c r="AP7" s="568">
        <f>IF(R7="węgiel",U7*'Założenia,wskaźniki, listy'!$C$50,IF(R7="gaz",U7*'Założenia,wskaźniki, listy'!$D$50,IF(R7="drewno",U7*'Założenia,wskaźniki, listy'!$E$50,IF(R7="pelet",U7*'Założenia,wskaźniki, listy'!$F$50,IF(R7="olej opałowy",U7*'Założenia,wskaźniki, listy'!$G$50,IF(R7="sieć ciepłownicza",0,IF(R7="prąd",0,0)))))))</f>
        <v>0</v>
      </c>
      <c r="AQ7" s="568"/>
      <c r="AR7" s="568">
        <f t="shared" si="2"/>
        <v>0</v>
      </c>
      <c r="AS7" s="568">
        <f t="shared" si="3"/>
        <v>0</v>
      </c>
      <c r="AT7" s="568">
        <f>IF(Q7="energia el.",(IF(P7&gt;=50,AE7,X7)+AQ7*Z!$J$46),(IF(P7&gt;=50,AE7,X7)+AQ7*Z!$J$46))</f>
        <v>0</v>
      </c>
      <c r="AU7" s="568">
        <f t="shared" si="4"/>
        <v>0</v>
      </c>
      <c r="AV7" s="568">
        <f t="shared" si="5"/>
        <v>0</v>
      </c>
      <c r="AW7" s="568">
        <f t="shared" si="6"/>
        <v>0</v>
      </c>
      <c r="AX7" s="568">
        <f t="shared" si="7"/>
        <v>0</v>
      </c>
      <c r="AY7" s="88"/>
      <c r="AZ7" s="567"/>
      <c r="BA7" s="564"/>
      <c r="BB7" s="567"/>
      <c r="BC7" s="567"/>
      <c r="BD7" s="567"/>
      <c r="BE7" s="567"/>
      <c r="BF7" s="567"/>
      <c r="BG7" s="567"/>
      <c r="BH7" s="520"/>
      <c r="BI7" s="326">
        <f t="shared" si="8"/>
        <v>0</v>
      </c>
      <c r="BJ7" s="319">
        <f t="shared" si="9"/>
        <v>0</v>
      </c>
      <c r="BK7" s="319" t="b">
        <f t="shared" si="10"/>
        <v>0</v>
      </c>
      <c r="BL7" s="319" t="b">
        <f t="shared" si="11"/>
        <v>0</v>
      </c>
      <c r="BM7" s="319" t="b">
        <f t="shared" si="12"/>
        <v>0</v>
      </c>
      <c r="BN7" s="319" t="b">
        <f t="shared" si="13"/>
        <v>0</v>
      </c>
      <c r="BO7" s="319" t="b">
        <f t="shared" si="14"/>
        <v>0</v>
      </c>
      <c r="BP7" s="319" t="b">
        <f t="shared" si="15"/>
        <v>0</v>
      </c>
      <c r="BQ7" s="319" t="b">
        <f t="shared" si="16"/>
        <v>0</v>
      </c>
      <c r="BR7" s="319" t="b">
        <f t="shared" si="17"/>
        <v>0</v>
      </c>
      <c r="BS7" s="319" t="b">
        <f t="shared" si="18"/>
        <v>0</v>
      </c>
      <c r="BT7" s="319" t="b">
        <f t="shared" si="19"/>
        <v>0</v>
      </c>
      <c r="BU7" s="319" t="b">
        <f t="shared" si="20"/>
        <v>0</v>
      </c>
      <c r="BV7" s="319" t="b">
        <f t="shared" si="21"/>
        <v>0</v>
      </c>
      <c r="BW7" s="319" t="b">
        <f t="shared" si="22"/>
        <v>0</v>
      </c>
      <c r="BX7" s="319" t="b">
        <f t="shared" si="23"/>
        <v>0</v>
      </c>
      <c r="BY7" s="319" t="b">
        <f t="shared" si="24"/>
        <v>0</v>
      </c>
      <c r="BZ7" s="319" t="b">
        <f t="shared" si="25"/>
        <v>0</v>
      </c>
      <c r="CA7" s="319" t="b">
        <f t="shared" si="26"/>
        <v>0</v>
      </c>
      <c r="CB7" s="319" t="b">
        <f t="shared" si="27"/>
        <v>0</v>
      </c>
      <c r="CC7" s="319" t="b">
        <f t="shared" si="28"/>
        <v>0</v>
      </c>
      <c r="CD7" s="319" t="b">
        <f t="shared" si="29"/>
        <v>0</v>
      </c>
      <c r="CE7" s="319" t="b">
        <f t="shared" si="30"/>
        <v>0</v>
      </c>
    </row>
    <row r="8" spans="1:84" ht="15" customHeight="1">
      <c r="A8" s="531">
        <v>4</v>
      </c>
      <c r="B8" s="565"/>
      <c r="C8" s="503" t="s">
        <v>175</v>
      </c>
      <c r="D8" s="566"/>
      <c r="E8" s="566"/>
      <c r="F8" s="566"/>
      <c r="G8" s="88"/>
      <c r="H8" s="88"/>
      <c r="I8" s="88">
        <f>IF(E8&lt;=1966,'Założenia,wskaźniki, listy'!$H$4,IF(E8&gt;1966,IF(E8&lt;=1985,'Założenia,wskaźniki, listy'!$H$5,IF(E8&gt;1985,IF(E8&lt;=1992,'Założenia,wskaźniki, listy'!$H$6,IF(E8&gt;1992,IF(E8&lt;=1996,'Założenia,wskaźniki, listy'!$H$7,IF(E8&gt;1996,IF(E8&lt;=2013,'Założenia,wskaźniki, listy'!$H$8)))))))))</f>
        <v>290</v>
      </c>
      <c r="J8" s="88"/>
      <c r="K8" s="88"/>
      <c r="L8" s="88"/>
      <c r="M8" s="567"/>
      <c r="N8" s="567"/>
      <c r="O8" s="567"/>
      <c r="P8" s="567"/>
      <c r="Q8" s="88"/>
      <c r="R8" s="282">
        <f t="shared" si="1"/>
        <v>0</v>
      </c>
      <c r="S8" s="568">
        <f>IF(J8="kompletna",I8*F8*0.0036*'Założenia,wskaźniki, listy'!$C$15,IF(J8="częściowa",I8*F8*0.0036*'Założenia,wskaźniki, listy'!$C$16,IF(J8="brak",I8*F8*0.0036*'Założenia,wskaźniki, listy'!$C$17,0)))</f>
        <v>0</v>
      </c>
      <c r="T8" s="568">
        <f>G8*'Założenia,wskaźniki, listy'!$L$15</f>
        <v>0</v>
      </c>
      <c r="U8" s="594">
        <f>IF(K8="węgiel",L8*'Założenia,wskaźniki, listy'!$B$4,IF(K8="gaz",L8*'Założenia,wskaźniki, listy'!$B$5,IF(K8="drewno",L8*'Założenia,wskaźniki, listy'!$B$6,IF(K8="pelet",L8*'Założenia,wskaźniki, listy'!$B$7,IF(K8="olej opałowy",L8*'Założenia,wskaźniki, listy'!$B$8,IF(K8="sieć ciepłownicza",0,0))))))</f>
        <v>0</v>
      </c>
      <c r="V8" s="568">
        <f>IF(K8="węgiel",U8*'Założenia,wskaźniki, listy'!$C$44,IF(K8="gaz",U8*'Założenia,wskaźniki, listy'!$D$44,IF(K8="drewno",U8*'Założenia,wskaźniki, listy'!$E$44,IF(K8="pelet",U8*'Założenia,wskaźniki, listy'!$F$44,IF(K8="olej opałowy",U8*'Założenia,wskaźniki, listy'!$G$44,IF(K8="sieć ciepłownicza",0,IF(K8="prąd",0,0)))))))</f>
        <v>0</v>
      </c>
      <c r="W8" s="568">
        <f>IF(K8="węgiel",U8*'Założenia,wskaźniki, listy'!$C$45,IF(K8="gaz",U8*'Założenia,wskaźniki, listy'!$D$45,IF(K8="drewno",U8*'Założenia,wskaźniki, listy'!$E$45,IF(K8="pelet",U8*'Założenia,wskaźniki, listy'!$F$45,IF(K8="olej opałowy",U8*'Założenia,wskaźniki, listy'!$G$45,IF(K8="sieć ciepłownicza",0,IF(K8="prąd",0,0)))))))</f>
        <v>0</v>
      </c>
      <c r="X8" s="568">
        <f>IF(K8="węgiel",U8*'Założenia,wskaźniki, listy'!$C$46,IF(K8="gaz",U8*'Założenia,wskaźniki, listy'!$D$46,IF(K8="drewno",U8*'Założenia,wskaźniki, listy'!$E$46,IF(K8="pelet",U8*'Założenia,wskaźniki, listy'!$F$46,IF(K8="olej opałowy",U8*'Założenia,wskaźniki, listy'!$G$46,IF(K8="sieć ciepłownicza",0,IF(K8="prąd",0,0)))))))</f>
        <v>0</v>
      </c>
      <c r="Y8" s="568">
        <f>IF(K8="węgiel",U8*'Założenia,wskaźniki, listy'!$C$47,IF(K8="gaz",U8*'Założenia,wskaźniki, listy'!$D$47,IF(K8="drewno",U8*'Założenia,wskaźniki, listy'!$E$47,IF(K8="pelet",U8*'Założenia,wskaźniki, listy'!$F$47,IF(K8="olej opałowy",U8*'Założenia,wskaźniki, listy'!$G$47,IF(K8="sieć ciepłownicza",0,IF(K8="prąd",0,0)))))))</f>
        <v>0</v>
      </c>
      <c r="Z8" s="568">
        <f>IF(K8="węgiel",U8*'Założenia,wskaźniki, listy'!$C$48,IF(K8="gaz",U8*'Założenia,wskaźniki, listy'!$D$48,IF(K8="drewno",U8*'Założenia,wskaźniki, listy'!$E$48,IF(K8="pelet",U8*'Założenia,wskaźniki, listy'!$F$48,IF(K8="olej opałowy",U8*'Założenia,wskaźniki, listy'!$G$48,IF(K8="sieć ciepłownicza",0,IF(K8="prąd",0,0)))))))</f>
        <v>0</v>
      </c>
      <c r="AA8" s="568">
        <f>IF(K8="węgiel",U8*'Założenia,wskaźniki, listy'!$C$49,IF(K8="gaz",U8*'Założenia,wskaźniki, listy'!$D$49,IF(K8="drewno",U8*'Założenia,wskaźniki, listy'!$E$49,IF(K8="pelet",U8*'Założenia,wskaźniki, listy'!$F$49,IF(K8="olej opałowy",U8*'Założenia,wskaźniki, listy'!$G$49,IF(K8="sieć ciepłownicza",0,IF(K8="prąd",0,0)))))))</f>
        <v>0</v>
      </c>
      <c r="AB8" s="568">
        <f>IF(K8="węgiel",U8*'Założenia,wskaźniki, listy'!$C$50,IF(K8="gaz",U8*'Założenia,wskaźniki, listy'!$D$50,IF(K8="drewno",U8*'Założenia,wskaźniki, listy'!$E$50,IF(K8="pelet",U8*'Założenia,wskaźniki, listy'!$F$50,IF(K8="olej opałowy",U8*'Założenia,wskaźniki, listy'!$G$50,IF(K8="sieć ciepłownicza",0,IF(K8="prąd",0,0)))))))</f>
        <v>0</v>
      </c>
      <c r="AC8" s="568">
        <f>IF(K8="węgiel",U8*Z!$C$44,IF(K8="gaz",U8*Z!$D$44,IF(K8="drewno",U8*Z!$E$44,IF(K8="pelet",U8*Z!$F$44,IF(K8="olej opałowy",U8*Z!$G$44,IF(K8="sieć ciepłownicza",0,IF(K8="prąd",0,0)))))))</f>
        <v>0</v>
      </c>
      <c r="AD8" s="568">
        <f>IF(K8="węgiel",U8*Z!$C$45,IF(K8="gaz",U8*Z!$D$45,IF(K8="drewno",U8*Z!$E$45,IF(K8="pelet",U8*Z!$F$45,IF(K8="olej opałowy",U8*Z!$G$45,IF(K8="sieć ciepłownicza",0,IF(K8="prąd",0,0)))))))</f>
        <v>0</v>
      </c>
      <c r="AE8" s="568">
        <f>IF(K8="węgiel",U8*Z!$C$46,IF(K8="gaz",U8*Z!$D$46,IF(K8="drewno",U8*Z!$E$46,IF(K8="pelet",U8*Z!$F$46,IF(K8="olej opałowy",U8*Z!$G$46,IF(K8="sieć ciepłownicza",0,IF(K8="prąd",0,0)))))))</f>
        <v>0</v>
      </c>
      <c r="AF8" s="568">
        <f>IF(K8="węgiel",U8*Z!$C$47,IF(K8="gaz",U8*Z!$D$47,IF(K8="drewno",U8*Z!$E$47,IF(K8="pelet",U8*Z!$F$47,IF(K8="olej opałowy",U8*Z!$G$47,IF(K8="sieć ciepłownicza",0,IF(K8="prąd",0,0)))))))</f>
        <v>0</v>
      </c>
      <c r="AG8" s="568">
        <f>IF(K8="węgiel",U8*Z!$C$48,IF(K8="gaz",U8*Z!$D$48,IF(K8="drewno",U8*Z!$E$48,IF(K8="pelet",U8*Z!$F$48,IF(K8="olej opałowy",U8*Z!$G$48,IF(K8="sieć ciepłownicza",0,IF(K8="prąd",0,0)))))))</f>
        <v>0</v>
      </c>
      <c r="AH8" s="568">
        <f>IF(K8="węgiel",U8*Z!$C$49,IF(K8="gaz",U8*Z!$D$49,IF(K8="drewno",U8*Z!$E$49,IF(K8="pelet",U8*Z!$F$49,IF(K8="olej opałowy",U8*Z!$G$49,IF(K8="sieć ciepłownicza",0,IF(K8="prąd",0,0)))))))</f>
        <v>0</v>
      </c>
      <c r="AI8" s="568">
        <f>IF(K8="węgiel",U8*Z!$C$50,IF(K8="gaz",U8*Z!$D$50,IF(K8="drewno",U8*Z!$E$50,IF(K8="pelet",U8*Z!$F$50,IF(K8="olej opałowy",U8*Z!$G$50,IF(K8="sieć ciepłownicza",0,IF(K8="prąd",0,0)))))))</f>
        <v>0</v>
      </c>
      <c r="AJ8" s="568">
        <f>IF(Q8="węgiel",T8*'Założenia,wskaźniki, listy'!$C$44,IF(Q8="gaz",T8*'Założenia,wskaźniki, listy'!$D$44,IF(Q8="drewno",T8*'Założenia,wskaźniki, listy'!$E$44,IF(Q8="pelet",T8*'Założenia,wskaźniki, listy'!$F$44,IF(Q8="olej opałowy",T8*'Założenia,wskaźniki, listy'!$G$44,IF(Q8="sieć ciepłownicza",0,IF(Q8="prąd",0,0)))))))</f>
        <v>0</v>
      </c>
      <c r="AK8" s="568">
        <f>IF(R8="węgiel",U8*'Założenia,wskaźniki, listy'!$C$45,IF(R8="gaz",U8*'Założenia,wskaźniki, listy'!$D$45,IF(R8="drewno",U8*'Założenia,wskaźniki, listy'!$E$45,IF(R8="pelet",U8*'Założenia,wskaźniki, listy'!$F$45,IF(R8="olej opałowy",U8*'Założenia,wskaźniki, listy'!$G$45,IF(R8="sieć ciepłownicza",0,IF(R8="prąd",0,0)))))))</f>
        <v>0</v>
      </c>
      <c r="AL8" s="568">
        <f>IF(R8="węgiel",U8*'Założenia,wskaźniki, listy'!$C$46,IF(R8="gaz",U8*'Założenia,wskaźniki, listy'!$D$46,IF(R8="drewno",U8*'Założenia,wskaźniki, listy'!$E$46,IF(R8="pelet",U8*'Założenia,wskaźniki, listy'!$F$46,IF(R8="olej opałowy",U8*'Założenia,wskaźniki, listy'!$G$46,IF(R8="sieć ciepłownicza",0,IF(R8="prąd",0,0)))))))</f>
        <v>0</v>
      </c>
      <c r="AM8" s="568">
        <f>IF(R8="węgiel",U8*'Założenia,wskaźniki, listy'!$C$47,IF(R8="gaz",U8*'Założenia,wskaźniki, listy'!$D$47,IF(R8="drewno",U8*'Założenia,wskaźniki, listy'!$E$47,IF(R8="pelet",U8*'Założenia,wskaźniki, listy'!$F$47,IF(R8="olej opałowy",U8*'Założenia,wskaźniki, listy'!$G$47,IF(R8="sieć ciepłownicza",0,IF(R8="prąd",0,0)))))))</f>
        <v>0</v>
      </c>
      <c r="AN8" s="568">
        <f>IF(R8="węgiel",U8*'Założenia,wskaźniki, listy'!$C$48,IF(R8="gaz",U8*'Założenia,wskaźniki, listy'!$D$48,IF(R8="drewno",U8*'Założenia,wskaźniki, listy'!$E$48,IF(R8="pelet",U8*'Założenia,wskaźniki, listy'!$F$48,IF(R8="olej opałowy",U8*'Założenia,wskaźniki, listy'!$G$48,IF(R8="sieć ciepłownicza",0,IF(R8="prąd",0,0)))))))</f>
        <v>0</v>
      </c>
      <c r="AO8" s="568">
        <f>IF(R8="węgiel",U8*'Założenia,wskaźniki, listy'!$C$49,IF(R8="gaz",U8*'Założenia,wskaźniki, listy'!$D$49,IF(R8="drewno",U8*'Założenia,wskaźniki, listy'!$E$49,IF(R8="pelet",U8*'Założenia,wskaźniki, listy'!$F$49,IF(R8="olej opałowy",U8*'Założenia,wskaźniki, listy'!$G$49,IF(R8="sieć ciepłownicza",0,IF(R8="prąd",0,0)))))))</f>
        <v>0</v>
      </c>
      <c r="AP8" s="568">
        <f>IF(R8="węgiel",U8*'Założenia,wskaźniki, listy'!$C$50,IF(R8="gaz",U8*'Założenia,wskaźniki, listy'!$D$50,IF(R8="drewno",U8*'Założenia,wskaźniki, listy'!$E$50,IF(R8="pelet",U8*'Założenia,wskaźniki, listy'!$F$50,IF(R8="olej opałowy",U8*'Założenia,wskaźniki, listy'!$G$50,IF(R8="sieć ciepłownicza",0,IF(R8="prąd",0,0)))))))</f>
        <v>0</v>
      </c>
      <c r="AQ8" s="568"/>
      <c r="AR8" s="568">
        <f t="shared" si="2"/>
        <v>0</v>
      </c>
      <c r="AS8" s="568">
        <f t="shared" si="3"/>
        <v>0</v>
      </c>
      <c r="AT8" s="568">
        <f>IF(Q8="energia el.",(IF(P8&gt;=50,AE8,X8)+AQ8*Z!$J$46),(IF(P8&gt;=50,AE8,X8)+AQ8*Z!$J$46))</f>
        <v>0</v>
      </c>
      <c r="AU8" s="568">
        <f t="shared" si="4"/>
        <v>0</v>
      </c>
      <c r="AV8" s="568">
        <f t="shared" si="5"/>
        <v>0</v>
      </c>
      <c r="AW8" s="568">
        <f t="shared" si="6"/>
        <v>0</v>
      </c>
      <c r="AX8" s="568">
        <f t="shared" si="7"/>
        <v>0</v>
      </c>
      <c r="AY8" s="88"/>
      <c r="AZ8" s="567"/>
      <c r="BA8" s="564"/>
      <c r="BB8" s="567"/>
      <c r="BC8" s="567"/>
      <c r="BD8" s="567"/>
      <c r="BE8" s="567"/>
      <c r="BF8" s="567"/>
      <c r="BG8" s="567"/>
      <c r="BH8" s="520"/>
      <c r="BI8" s="326">
        <f t="shared" si="8"/>
        <v>0</v>
      </c>
      <c r="BJ8" s="319">
        <f t="shared" si="9"/>
        <v>0</v>
      </c>
      <c r="BK8" s="319" t="b">
        <f t="shared" si="10"/>
        <v>0</v>
      </c>
      <c r="BL8" s="319" t="b">
        <f t="shared" si="11"/>
        <v>0</v>
      </c>
      <c r="BM8" s="319" t="b">
        <f t="shared" si="12"/>
        <v>0</v>
      </c>
      <c r="BN8" s="319" t="b">
        <f t="shared" si="13"/>
        <v>0</v>
      </c>
      <c r="BO8" s="319" t="b">
        <f t="shared" si="14"/>
        <v>0</v>
      </c>
      <c r="BP8" s="319" t="b">
        <f t="shared" si="15"/>
        <v>0</v>
      </c>
      <c r="BQ8" s="319" t="b">
        <f t="shared" si="16"/>
        <v>0</v>
      </c>
      <c r="BR8" s="319" t="b">
        <f t="shared" si="17"/>
        <v>0</v>
      </c>
      <c r="BS8" s="319" t="b">
        <f t="shared" si="18"/>
        <v>0</v>
      </c>
      <c r="BT8" s="319" t="b">
        <f t="shared" si="19"/>
        <v>0</v>
      </c>
      <c r="BU8" s="319" t="b">
        <f t="shared" si="20"/>
        <v>0</v>
      </c>
      <c r="BV8" s="319" t="b">
        <f t="shared" si="21"/>
        <v>0</v>
      </c>
      <c r="BW8" s="319" t="b">
        <f t="shared" si="22"/>
        <v>0</v>
      </c>
      <c r="BX8" s="319" t="b">
        <f t="shared" si="23"/>
        <v>0</v>
      </c>
      <c r="BY8" s="319" t="b">
        <f t="shared" si="24"/>
        <v>0</v>
      </c>
      <c r="BZ8" s="319" t="b">
        <f t="shared" si="25"/>
        <v>0</v>
      </c>
      <c r="CA8" s="319" t="b">
        <f t="shared" si="26"/>
        <v>0</v>
      </c>
      <c r="CB8" s="319" t="b">
        <f t="shared" si="27"/>
        <v>0</v>
      </c>
      <c r="CC8" s="319" t="b">
        <f t="shared" si="28"/>
        <v>0</v>
      </c>
      <c r="CD8" s="319" t="b">
        <f t="shared" si="29"/>
        <v>0</v>
      </c>
      <c r="CE8" s="319" t="b">
        <f t="shared" si="30"/>
        <v>0</v>
      </c>
    </row>
    <row r="9" spans="1:84" ht="17.25" customHeight="1">
      <c r="A9" s="531">
        <v>5</v>
      </c>
      <c r="B9" s="584"/>
      <c r="C9" s="503" t="s">
        <v>175</v>
      </c>
      <c r="D9" s="566"/>
      <c r="E9" s="566"/>
      <c r="F9" s="566"/>
      <c r="G9" s="88"/>
      <c r="H9" s="88"/>
      <c r="I9" s="88">
        <f>IF(E9&lt;=1966,'Założenia,wskaźniki, listy'!$H$4,IF(E9&gt;1966,IF(E9&lt;=1985,'Założenia,wskaźniki, listy'!$H$5,IF(E9&gt;1985,IF(E9&lt;=1992,'Założenia,wskaźniki, listy'!$H$6,IF(E9&gt;1992,IF(E9&lt;=1996,'Założenia,wskaźniki, listy'!$H$7,IF(E9&gt;1996,IF(E9&lt;=2013,'Założenia,wskaźniki, listy'!$H$8)))))))))</f>
        <v>290</v>
      </c>
      <c r="J9" s="88"/>
      <c r="K9" s="88"/>
      <c r="L9" s="88"/>
      <c r="M9" s="567"/>
      <c r="N9" s="567"/>
      <c r="O9" s="567"/>
      <c r="P9" s="567"/>
      <c r="Q9" s="88"/>
      <c r="R9" s="282">
        <f t="shared" si="1"/>
        <v>0</v>
      </c>
      <c r="S9" s="568">
        <f>IF(J9="kompletna",I9*F9*0.0036*'Założenia,wskaźniki, listy'!$C$15,IF(J9="częściowa",I9*F9*0.0036*'Założenia,wskaźniki, listy'!$C$16,IF(J9="brak",I9*F9*0.0036*'Założenia,wskaźniki, listy'!$C$17,0)))</f>
        <v>0</v>
      </c>
      <c r="T9" s="568">
        <f>G9*'Założenia,wskaźniki, listy'!$L$15</f>
        <v>0</v>
      </c>
      <c r="U9" s="594">
        <f>IF(K9="węgiel",L9*'Założenia,wskaźniki, listy'!$B$4,IF(K9="gaz",L9*'Założenia,wskaźniki, listy'!$B$5,IF(K9="drewno",L9*'Założenia,wskaźniki, listy'!$B$6,IF(K9="pelet",L9*'Założenia,wskaźniki, listy'!$B$7,IF(K9="olej opałowy",L9*'Założenia,wskaźniki, listy'!$B$8,IF(K9="sieć ciepłownicza",0,0))))))</f>
        <v>0</v>
      </c>
      <c r="V9" s="568">
        <f>IF(K9="węgiel",U9*'Założenia,wskaźniki, listy'!$C$44,IF(K9="gaz",U9*'Założenia,wskaźniki, listy'!$D$44,IF(K9="drewno",U9*'Założenia,wskaźniki, listy'!$E$44,IF(K9="pelet",U9*'Założenia,wskaźniki, listy'!$F$44,IF(K9="olej opałowy",U9*'Założenia,wskaźniki, listy'!$G$44,IF(K9="sieć ciepłownicza",0,IF(K9="prąd",0,0)))))))</f>
        <v>0</v>
      </c>
      <c r="W9" s="568">
        <f>IF(K9="węgiel",U9*'Założenia,wskaźniki, listy'!$C$45,IF(K9="gaz",U9*'Założenia,wskaźniki, listy'!$D$45,IF(K9="drewno",U9*'Założenia,wskaźniki, listy'!$E$45,IF(K9="pelet",U9*'Założenia,wskaźniki, listy'!$F$45,IF(K9="olej opałowy",U9*'Założenia,wskaźniki, listy'!$G$45,IF(K9="sieć ciepłownicza",0,IF(K9="prąd",0,0)))))))</f>
        <v>0</v>
      </c>
      <c r="X9" s="568">
        <f>IF(K9="węgiel",U9*'Założenia,wskaźniki, listy'!$C$46,IF(K9="gaz",U9*'Założenia,wskaźniki, listy'!$D$46,IF(K9="drewno",U9*'Założenia,wskaźniki, listy'!$E$46,IF(K9="pelet",U9*'Założenia,wskaźniki, listy'!$F$46,IF(K9="olej opałowy",U9*'Założenia,wskaźniki, listy'!$G$46,IF(K9="sieć ciepłownicza",0,IF(K9="prąd",0,0)))))))</f>
        <v>0</v>
      </c>
      <c r="Y9" s="568">
        <f>IF(K9="węgiel",U9*'Założenia,wskaźniki, listy'!$C$47,IF(K9="gaz",U9*'Założenia,wskaźniki, listy'!$D$47,IF(K9="drewno",U9*'Założenia,wskaźniki, listy'!$E$47,IF(K9="pelet",U9*'Założenia,wskaźniki, listy'!$F$47,IF(K9="olej opałowy",U9*'Założenia,wskaźniki, listy'!$G$47,IF(K9="sieć ciepłownicza",0,IF(K9="prąd",0,0)))))))</f>
        <v>0</v>
      </c>
      <c r="Z9" s="568">
        <f>IF(K9="węgiel",U9*'Założenia,wskaźniki, listy'!$C$48,IF(K9="gaz",U9*'Założenia,wskaźniki, listy'!$D$48,IF(K9="drewno",U9*'Założenia,wskaźniki, listy'!$E$48,IF(K9="pelet",U9*'Założenia,wskaźniki, listy'!$F$48,IF(K9="olej opałowy",U9*'Założenia,wskaźniki, listy'!$G$48,IF(K9="sieć ciepłownicza",0,IF(K9="prąd",0,0)))))))</f>
        <v>0</v>
      </c>
      <c r="AA9" s="568">
        <f>IF(K9="węgiel",U9*'Założenia,wskaźniki, listy'!$C$49,IF(K9="gaz",U9*'Założenia,wskaźniki, listy'!$D$49,IF(K9="drewno",U9*'Założenia,wskaźniki, listy'!$E$49,IF(K9="pelet",U9*'Założenia,wskaźniki, listy'!$F$49,IF(K9="olej opałowy",U9*'Założenia,wskaźniki, listy'!$G$49,IF(K9="sieć ciepłownicza",0,IF(K9="prąd",0,0)))))))</f>
        <v>0</v>
      </c>
      <c r="AB9" s="568">
        <f>IF(K9="węgiel",U9*'Założenia,wskaźniki, listy'!$C$50,IF(K9="gaz",U9*'Założenia,wskaźniki, listy'!$D$50,IF(K9="drewno",U9*'Założenia,wskaźniki, listy'!$E$50,IF(K9="pelet",U9*'Założenia,wskaźniki, listy'!$F$50,IF(K9="olej opałowy",U9*'Założenia,wskaźniki, listy'!$G$50,IF(K9="sieć ciepłownicza",0,IF(K9="prąd",0,0)))))))</f>
        <v>0</v>
      </c>
      <c r="AC9" s="568">
        <f>IF(K9="węgiel",U9*Z!$C$44,IF(K9="gaz",U9*Z!$D$44,IF(K9="drewno",U9*Z!$E$44,IF(K9="pelet",U9*Z!$F$44,IF(K9="olej opałowy",U9*Z!$G$44,IF(K9="sieć ciepłownicza",0,IF(K9="prąd",0,0)))))))</f>
        <v>0</v>
      </c>
      <c r="AD9" s="568">
        <f>IF(K9="węgiel",U9*Z!$C$45,IF(K9="gaz",U9*Z!$D$45,IF(K9="drewno",U9*Z!$E$45,IF(K9="pelet",U9*Z!$F$45,IF(K9="olej opałowy",U9*Z!$G$45,IF(K9="sieć ciepłownicza",0,IF(K9="prąd",0,0)))))))</f>
        <v>0</v>
      </c>
      <c r="AE9" s="568">
        <f>IF(K9="węgiel",U9*Z!$C$46,IF(K9="gaz",U9*Z!$D$46,IF(K9="drewno",U9*Z!$E$46,IF(K9="pelet",U9*Z!$F$46,IF(K9="olej opałowy",U9*Z!$G$46,IF(K9="sieć ciepłownicza",0,IF(K9="prąd",0,0)))))))</f>
        <v>0</v>
      </c>
      <c r="AF9" s="568">
        <f>IF(K9="węgiel",U9*Z!$C$47,IF(K9="gaz",U9*Z!$D$47,IF(K9="drewno",U9*Z!$E$47,IF(K9="pelet",U9*Z!$F$47,IF(K9="olej opałowy",U9*Z!$G$47,IF(K9="sieć ciepłownicza",0,IF(K9="prąd",0,0)))))))</f>
        <v>0</v>
      </c>
      <c r="AG9" s="568">
        <f>IF(K9="węgiel",U9*Z!$C$48,IF(K9="gaz",U9*Z!$D$48,IF(K9="drewno",U9*Z!$E$48,IF(K9="pelet",U9*Z!$F$48,IF(K9="olej opałowy",U9*Z!$G$48,IF(K9="sieć ciepłownicza",0,IF(K9="prąd",0,0)))))))</f>
        <v>0</v>
      </c>
      <c r="AH9" s="568">
        <f>IF(K9="węgiel",U9*Z!$C$49,IF(K9="gaz",U9*Z!$D$49,IF(K9="drewno",U9*Z!$E$49,IF(K9="pelet",U9*Z!$F$49,IF(K9="olej opałowy",U9*Z!$G$49,IF(K9="sieć ciepłownicza",0,IF(K9="prąd",0,0)))))))</f>
        <v>0</v>
      </c>
      <c r="AI9" s="568">
        <f>IF(K9="węgiel",U9*Z!$C$50,IF(K9="gaz",U9*Z!$D$50,IF(K9="drewno",U9*Z!$E$50,IF(K9="pelet",U9*Z!$F$50,IF(K9="olej opałowy",U9*Z!$G$50,IF(K9="sieć ciepłownicza",0,IF(K9="prąd",0,0)))))))</f>
        <v>0</v>
      </c>
      <c r="AJ9" s="568">
        <f>IF(Q9="węgiel",T9*'Założenia,wskaźniki, listy'!$C$44,IF(Q9="gaz",T9*'Założenia,wskaźniki, listy'!$D$44,IF(Q9="drewno",T9*'Założenia,wskaźniki, listy'!$E$44,IF(Q9="pelet",T9*'Założenia,wskaźniki, listy'!$F$44,IF(Q9="olej opałowy",T9*'Założenia,wskaźniki, listy'!$G$44,IF(Q9="sieć ciepłownicza",0,IF(Q9="prąd",0,0)))))))</f>
        <v>0</v>
      </c>
      <c r="AK9" s="568">
        <f>IF(R9="węgiel",U9*'Założenia,wskaźniki, listy'!$C$45,IF(R9="gaz",U9*'Założenia,wskaźniki, listy'!$D$45,IF(R9="drewno",U9*'Założenia,wskaźniki, listy'!$E$45,IF(R9="pelet",U9*'Założenia,wskaźniki, listy'!$F$45,IF(R9="olej opałowy",U9*'Założenia,wskaźniki, listy'!$G$45,IF(R9="sieć ciepłownicza",0,IF(R9="prąd",0,0)))))))</f>
        <v>0</v>
      </c>
      <c r="AL9" s="568">
        <f>IF(R9="węgiel",U9*'Założenia,wskaźniki, listy'!$C$46,IF(R9="gaz",U9*'Założenia,wskaźniki, listy'!$D$46,IF(R9="drewno",U9*'Założenia,wskaźniki, listy'!$E$46,IF(R9="pelet",U9*'Założenia,wskaźniki, listy'!$F$46,IF(R9="olej opałowy",U9*'Założenia,wskaźniki, listy'!$G$46,IF(R9="sieć ciepłownicza",0,IF(R9="prąd",0,0)))))))</f>
        <v>0</v>
      </c>
      <c r="AM9" s="568">
        <f>IF(R9="węgiel",U9*'Założenia,wskaźniki, listy'!$C$47,IF(R9="gaz",U9*'Założenia,wskaźniki, listy'!$D$47,IF(R9="drewno",U9*'Założenia,wskaźniki, listy'!$E$47,IF(R9="pelet",U9*'Założenia,wskaźniki, listy'!$F$47,IF(R9="olej opałowy",U9*'Założenia,wskaźniki, listy'!$G$47,IF(R9="sieć ciepłownicza",0,IF(R9="prąd",0,0)))))))</f>
        <v>0</v>
      </c>
      <c r="AN9" s="568">
        <f>IF(R9="węgiel",U9*'Założenia,wskaźniki, listy'!$C$48,IF(R9="gaz",U9*'Założenia,wskaźniki, listy'!$D$48,IF(R9="drewno",U9*'Założenia,wskaźniki, listy'!$E$48,IF(R9="pelet",U9*'Założenia,wskaźniki, listy'!$F$48,IF(R9="olej opałowy",U9*'Założenia,wskaźniki, listy'!$G$48,IF(R9="sieć ciepłownicza",0,IF(R9="prąd",0,0)))))))</f>
        <v>0</v>
      </c>
      <c r="AO9" s="568">
        <f>IF(R9="węgiel",U9*'Założenia,wskaźniki, listy'!$C$49,IF(R9="gaz",U9*'Założenia,wskaźniki, listy'!$D$49,IF(R9="drewno",U9*'Założenia,wskaźniki, listy'!$E$49,IF(R9="pelet",U9*'Założenia,wskaźniki, listy'!$F$49,IF(R9="olej opałowy",U9*'Założenia,wskaźniki, listy'!$G$49,IF(R9="sieć ciepłownicza",0,IF(R9="prąd",0,0)))))))</f>
        <v>0</v>
      </c>
      <c r="AP9" s="568">
        <f>IF(R9="węgiel",U9*'Założenia,wskaźniki, listy'!$C$50,IF(R9="gaz",U9*'Założenia,wskaźniki, listy'!$D$50,IF(R9="drewno",U9*'Założenia,wskaźniki, listy'!$E$50,IF(R9="pelet",U9*'Założenia,wskaźniki, listy'!$F$50,IF(R9="olej opałowy",U9*'Założenia,wskaźniki, listy'!$G$50,IF(R9="sieć ciepłownicza",0,IF(R9="prąd",0,0)))))))</f>
        <v>0</v>
      </c>
      <c r="AQ9" s="568"/>
      <c r="AR9" s="568">
        <f t="shared" si="2"/>
        <v>0</v>
      </c>
      <c r="AS9" s="568">
        <f t="shared" si="3"/>
        <v>0</v>
      </c>
      <c r="AT9" s="568">
        <f>IF(Q9="energia el.",(IF(P9&gt;=50,AE9,X9)+AQ9*Z!$J$46),(IF(P9&gt;=50,AE9,X9)+AQ9*Z!$J$46))</f>
        <v>0</v>
      </c>
      <c r="AU9" s="568">
        <f t="shared" si="4"/>
        <v>0</v>
      </c>
      <c r="AV9" s="568">
        <f t="shared" si="5"/>
        <v>0</v>
      </c>
      <c r="AW9" s="568">
        <f t="shared" si="6"/>
        <v>0</v>
      </c>
      <c r="AX9" s="568">
        <f t="shared" si="7"/>
        <v>0</v>
      </c>
      <c r="AY9" s="88"/>
      <c r="AZ9" s="567"/>
      <c r="BA9" s="564"/>
      <c r="BB9" s="567"/>
      <c r="BC9" s="567"/>
      <c r="BD9" s="567"/>
      <c r="BE9" s="567"/>
      <c r="BF9" s="567"/>
      <c r="BG9" s="567"/>
      <c r="BH9" s="520"/>
      <c r="BI9" s="326">
        <f t="shared" si="8"/>
        <v>0</v>
      </c>
      <c r="BJ9" s="319">
        <f t="shared" si="9"/>
        <v>0</v>
      </c>
      <c r="BK9" s="319" t="b">
        <f t="shared" si="10"/>
        <v>0</v>
      </c>
      <c r="BL9" s="319" t="b">
        <f t="shared" si="11"/>
        <v>0</v>
      </c>
      <c r="BM9" s="319" t="b">
        <f t="shared" si="12"/>
        <v>0</v>
      </c>
      <c r="BN9" s="319" t="b">
        <f t="shared" si="13"/>
        <v>0</v>
      </c>
      <c r="BO9" s="319" t="b">
        <f t="shared" si="14"/>
        <v>0</v>
      </c>
      <c r="BP9" s="319" t="b">
        <f t="shared" si="15"/>
        <v>0</v>
      </c>
      <c r="BQ9" s="319" t="b">
        <f t="shared" si="16"/>
        <v>0</v>
      </c>
      <c r="BR9" s="319" t="b">
        <f t="shared" si="17"/>
        <v>0</v>
      </c>
      <c r="BS9" s="319" t="b">
        <f t="shared" si="18"/>
        <v>0</v>
      </c>
      <c r="BT9" s="319" t="b">
        <f t="shared" si="19"/>
        <v>0</v>
      </c>
      <c r="BU9" s="319" t="b">
        <f t="shared" si="20"/>
        <v>0</v>
      </c>
      <c r="BV9" s="319" t="b">
        <f t="shared" si="21"/>
        <v>0</v>
      </c>
      <c r="BW9" s="319" t="b">
        <f t="shared" si="22"/>
        <v>0</v>
      </c>
      <c r="BX9" s="319" t="b">
        <f t="shared" si="23"/>
        <v>0</v>
      </c>
      <c r="BY9" s="319" t="b">
        <f t="shared" si="24"/>
        <v>0</v>
      </c>
      <c r="BZ9" s="319" t="b">
        <f t="shared" si="25"/>
        <v>0</v>
      </c>
      <c r="CA9" s="319" t="b">
        <f t="shared" si="26"/>
        <v>0</v>
      </c>
      <c r="CB9" s="319" t="b">
        <f t="shared" si="27"/>
        <v>0</v>
      </c>
      <c r="CC9" s="319" t="b">
        <f t="shared" si="28"/>
        <v>0</v>
      </c>
      <c r="CD9" s="319" t="b">
        <f t="shared" si="29"/>
        <v>0</v>
      </c>
      <c r="CE9" s="319" t="b">
        <f t="shared" si="30"/>
        <v>0</v>
      </c>
    </row>
    <row r="10" spans="1:84" ht="15" customHeight="1">
      <c r="A10" s="995">
        <v>6</v>
      </c>
      <c r="B10" s="997"/>
      <c r="C10" s="503" t="s">
        <v>175</v>
      </c>
      <c r="D10" s="566"/>
      <c r="E10" s="566"/>
      <c r="F10" s="566"/>
      <c r="G10" s="88"/>
      <c r="H10" s="88"/>
      <c r="I10" s="88">
        <f>IF(E10&lt;=1966,'Założenia,wskaźniki, listy'!$H$4,IF(E10&gt;1966,IF(E10&lt;=1985,'Założenia,wskaźniki, listy'!$H$5,IF(E10&gt;1985,IF(E10&lt;=1992,'Założenia,wskaźniki, listy'!$H$6,IF(E10&gt;1992,IF(E10&lt;=1996,'Założenia,wskaźniki, listy'!$H$7,IF(E10&gt;1996,IF(E10&lt;=2013,'Założenia,wskaźniki, listy'!$H$8)))))))))</f>
        <v>290</v>
      </c>
      <c r="J10" s="88"/>
      <c r="K10" s="88"/>
      <c r="L10" s="88"/>
      <c r="M10" s="567"/>
      <c r="N10" s="567"/>
      <c r="O10" s="567"/>
      <c r="P10" s="567"/>
      <c r="Q10" s="88"/>
      <c r="R10" s="282">
        <f t="shared" si="1"/>
        <v>0</v>
      </c>
      <c r="S10" s="568">
        <f>IF(J10="kompletna",I10*F10*0.0036*'Założenia,wskaźniki, listy'!$C$15,IF(J10="częściowa",I10*F10*0.0036*'Założenia,wskaźniki, listy'!$C$16,IF(J10="brak",I10*F10*0.0036*'Założenia,wskaźniki, listy'!$C$17,0)))</f>
        <v>0</v>
      </c>
      <c r="T10" s="568">
        <f>G10*'Założenia,wskaźniki, listy'!$L$15</f>
        <v>0</v>
      </c>
      <c r="U10" s="594">
        <f>IF(K10="węgiel",L10*'Założenia,wskaźniki, listy'!$B$4,IF(K10="gaz",L10*'Założenia,wskaźniki, listy'!$B$5,IF(K10="drewno",L10*'Założenia,wskaźniki, listy'!$B$6,IF(K10="pelet",L10*'Założenia,wskaźniki, listy'!$B$7,IF(K10="olej opałowy",L10*'Założenia,wskaźniki, listy'!$B$8,IF(K10="sieć ciepłownicza",0,0))))))</f>
        <v>0</v>
      </c>
      <c r="V10" s="568">
        <f>IF(K10="węgiel",U10*'Założenia,wskaźniki, listy'!$C$44,IF(K10="gaz",U10*'Założenia,wskaźniki, listy'!$D$44,IF(K10="drewno",U10*'Założenia,wskaźniki, listy'!$E$44,IF(K10="pelet",U10*'Założenia,wskaźniki, listy'!$F$44,IF(K10="olej opałowy",U10*'Założenia,wskaźniki, listy'!$G$44,IF(K10="sieć ciepłownicza",0,IF(K10="prąd",0,0)))))))</f>
        <v>0</v>
      </c>
      <c r="W10" s="568">
        <f>IF(K10="węgiel",U10*'Założenia,wskaźniki, listy'!$C$45,IF(K10="gaz",U10*'Założenia,wskaźniki, listy'!$D$45,IF(K10="drewno",U10*'Założenia,wskaźniki, listy'!$E$45,IF(K10="pelet",U10*'Założenia,wskaźniki, listy'!$F$45,IF(K10="olej opałowy",U10*'Założenia,wskaźniki, listy'!$G$45,IF(K10="sieć ciepłownicza",0,IF(K10="prąd",0,0)))))))</f>
        <v>0</v>
      </c>
      <c r="X10" s="568">
        <f>IF(K10="węgiel",U10*'Założenia,wskaźniki, listy'!$C$46,IF(K10="gaz",U10*'Założenia,wskaźniki, listy'!$D$46,IF(K10="drewno",U10*'Założenia,wskaźniki, listy'!$E$46,IF(K10="pelet",U10*'Założenia,wskaźniki, listy'!$F$46,IF(K10="olej opałowy",U10*'Założenia,wskaźniki, listy'!$G$46,IF(K10="sieć ciepłownicza",0,IF(K10="prąd",0,0)))))))</f>
        <v>0</v>
      </c>
      <c r="Y10" s="568">
        <f>IF(K10="węgiel",U10*'Założenia,wskaźniki, listy'!$C$47,IF(K10="gaz",U10*'Założenia,wskaźniki, listy'!$D$47,IF(K10="drewno",U10*'Założenia,wskaźniki, listy'!$E$47,IF(K10="pelet",U10*'Założenia,wskaźniki, listy'!$F$47,IF(K10="olej opałowy",U10*'Założenia,wskaźniki, listy'!$G$47,IF(K10="sieć ciepłownicza",0,IF(K10="prąd",0,0)))))))</f>
        <v>0</v>
      </c>
      <c r="Z10" s="568">
        <f>IF(K10="węgiel",U10*'Założenia,wskaźniki, listy'!$C$48,IF(K10="gaz",U10*'Założenia,wskaźniki, listy'!$D$48,IF(K10="drewno",U10*'Założenia,wskaźniki, listy'!$E$48,IF(K10="pelet",U10*'Założenia,wskaźniki, listy'!$F$48,IF(K10="olej opałowy",U10*'Założenia,wskaźniki, listy'!$G$48,IF(K10="sieć ciepłownicza",0,IF(K10="prąd",0,0)))))))</f>
        <v>0</v>
      </c>
      <c r="AA10" s="568">
        <f>IF(K10="węgiel",U10*'Założenia,wskaźniki, listy'!$C$49,IF(K10="gaz",U10*'Założenia,wskaźniki, listy'!$D$49,IF(K10="drewno",U10*'Założenia,wskaźniki, listy'!$E$49,IF(K10="pelet",U10*'Założenia,wskaźniki, listy'!$F$49,IF(K10="olej opałowy",U10*'Założenia,wskaźniki, listy'!$G$49,IF(K10="sieć ciepłownicza",0,IF(K10="prąd",0,0)))))))</f>
        <v>0</v>
      </c>
      <c r="AB10" s="568">
        <f>IF(K10="węgiel",U10*'Założenia,wskaźniki, listy'!$C$50,IF(K10="gaz",U10*'Założenia,wskaźniki, listy'!$D$50,IF(K10="drewno",U10*'Założenia,wskaźniki, listy'!$E$50,IF(K10="pelet",U10*'Założenia,wskaźniki, listy'!$F$50,IF(K10="olej opałowy",U10*'Założenia,wskaźniki, listy'!$G$50,IF(K10="sieć ciepłownicza",0,IF(K10="prąd",0,0)))))))</f>
        <v>0</v>
      </c>
      <c r="AC10" s="568">
        <f>IF(K10="węgiel",U10*Z!$C$44,IF(K10="gaz",U10*Z!$D$44,IF(K10="drewno",U10*Z!$E$44,IF(K10="pelet",U10*Z!$F$44,IF(K10="olej opałowy",U10*Z!$G$44,IF(K10="sieć ciepłownicza",0,IF(K10="prąd",0,0)))))))</f>
        <v>0</v>
      </c>
      <c r="AD10" s="568">
        <f>IF(K10="węgiel",U10*Z!$C$45,IF(K10="gaz",U10*Z!$D$45,IF(K10="drewno",U10*Z!$E$45,IF(K10="pelet",U10*Z!$F$45,IF(K10="olej opałowy",U10*Z!$G$45,IF(K10="sieć ciepłownicza",0,IF(K10="prąd",0,0)))))))</f>
        <v>0</v>
      </c>
      <c r="AE10" s="568">
        <f>IF(K10="węgiel",U10*Z!$C$46,IF(K10="gaz",U10*Z!$D$46,IF(K10="drewno",U10*Z!$E$46,IF(K10="pelet",U10*Z!$F$46,IF(K10="olej opałowy",U10*Z!$G$46,IF(K10="sieć ciepłownicza",0,IF(K10="prąd",0,0)))))))</f>
        <v>0</v>
      </c>
      <c r="AF10" s="568">
        <f>IF(K10="węgiel",U10*Z!$C$47,IF(K10="gaz",U10*Z!$D$47,IF(K10="drewno",U10*Z!$E$47,IF(K10="pelet",U10*Z!$F$47,IF(K10="olej opałowy",U10*Z!$G$47,IF(K10="sieć ciepłownicza",0,IF(K10="prąd",0,0)))))))</f>
        <v>0</v>
      </c>
      <c r="AG10" s="568">
        <f>IF(K10="węgiel",U10*Z!$C$48,IF(K10="gaz",U10*Z!$D$48,IF(K10="drewno",U10*Z!$E$48,IF(K10="pelet",U10*Z!$F$48,IF(K10="olej opałowy",U10*Z!$G$48,IF(K10="sieć ciepłownicza",0,IF(K10="prąd",0,0)))))))</f>
        <v>0</v>
      </c>
      <c r="AH10" s="568">
        <f>IF(K10="węgiel",U10*Z!$C$49,IF(K10="gaz",U10*Z!$D$49,IF(K10="drewno",U10*Z!$E$49,IF(K10="pelet",U10*Z!$F$49,IF(K10="olej opałowy",U10*Z!$G$49,IF(K10="sieć ciepłownicza",0,IF(K10="prąd",0,0)))))))</f>
        <v>0</v>
      </c>
      <c r="AI10" s="568">
        <f>IF(K10="węgiel",U10*Z!$C$50,IF(K10="gaz",U10*Z!$D$50,IF(K10="drewno",U10*Z!$E$50,IF(K10="pelet",U10*Z!$F$50,IF(K10="olej opałowy",U10*Z!$G$50,IF(K10="sieć ciepłownicza",0,IF(K10="prąd",0,0)))))))</f>
        <v>0</v>
      </c>
      <c r="AJ10" s="568">
        <f>IF(Q10="węgiel",T10*'Założenia,wskaźniki, listy'!$C$44,IF(Q10="gaz",T10*'Założenia,wskaźniki, listy'!$D$44,IF(Q10="drewno",T10*'Założenia,wskaźniki, listy'!$E$44,IF(Q10="pelet",T10*'Założenia,wskaźniki, listy'!$F$44,IF(Q10="olej opałowy",T10*'Założenia,wskaźniki, listy'!$G$44,IF(Q10="sieć ciepłownicza",0,IF(Q10="prąd",0,0)))))))</f>
        <v>0</v>
      </c>
      <c r="AK10" s="568">
        <f>IF(R10="węgiel",U10*'Założenia,wskaźniki, listy'!$C$45,IF(R10="gaz",U10*'Założenia,wskaźniki, listy'!$D$45,IF(R10="drewno",U10*'Założenia,wskaźniki, listy'!$E$45,IF(R10="pelet",U10*'Założenia,wskaźniki, listy'!$F$45,IF(R10="olej opałowy",U10*'Założenia,wskaźniki, listy'!$G$45,IF(R10="sieć ciepłownicza",0,IF(R10="prąd",0,0)))))))</f>
        <v>0</v>
      </c>
      <c r="AL10" s="568">
        <f>IF(R10="węgiel",U10*'Założenia,wskaźniki, listy'!$C$46,IF(R10="gaz",U10*'Założenia,wskaźniki, listy'!$D$46,IF(R10="drewno",U10*'Założenia,wskaźniki, listy'!$E$46,IF(R10="pelet",U10*'Założenia,wskaźniki, listy'!$F$46,IF(R10="olej opałowy",U10*'Założenia,wskaźniki, listy'!$G$46,IF(R10="sieć ciepłownicza",0,IF(R10="prąd",0,0)))))))</f>
        <v>0</v>
      </c>
      <c r="AM10" s="568">
        <f>IF(R10="węgiel",U10*'Założenia,wskaźniki, listy'!$C$47,IF(R10="gaz",U10*'Założenia,wskaźniki, listy'!$D$47,IF(R10="drewno",U10*'Założenia,wskaźniki, listy'!$E$47,IF(R10="pelet",U10*'Założenia,wskaźniki, listy'!$F$47,IF(R10="olej opałowy",U10*'Założenia,wskaźniki, listy'!$G$47,IF(R10="sieć ciepłownicza",0,IF(R10="prąd",0,0)))))))</f>
        <v>0</v>
      </c>
      <c r="AN10" s="568">
        <f>IF(R10="węgiel",U10*'Założenia,wskaźniki, listy'!$C$48,IF(R10="gaz",U10*'Założenia,wskaźniki, listy'!$D$48,IF(R10="drewno",U10*'Założenia,wskaźniki, listy'!$E$48,IF(R10="pelet",U10*'Założenia,wskaźniki, listy'!$F$48,IF(R10="olej opałowy",U10*'Założenia,wskaźniki, listy'!$G$48,IF(R10="sieć ciepłownicza",0,IF(R10="prąd",0,0)))))))</f>
        <v>0</v>
      </c>
      <c r="AO10" s="568">
        <f>IF(R10="węgiel",U10*'Założenia,wskaźniki, listy'!$C$49,IF(R10="gaz",U10*'Założenia,wskaźniki, listy'!$D$49,IF(R10="drewno",U10*'Założenia,wskaźniki, listy'!$E$49,IF(R10="pelet",U10*'Założenia,wskaźniki, listy'!$F$49,IF(R10="olej opałowy",U10*'Założenia,wskaźniki, listy'!$G$49,IF(R10="sieć ciepłownicza",0,IF(R10="prąd",0,0)))))))</f>
        <v>0</v>
      </c>
      <c r="AP10" s="568">
        <f>IF(R10="węgiel",U10*'Założenia,wskaźniki, listy'!$C$50,IF(R10="gaz",U10*'Założenia,wskaźniki, listy'!$D$50,IF(R10="drewno",U10*'Założenia,wskaźniki, listy'!$E$50,IF(R10="pelet",U10*'Założenia,wskaźniki, listy'!$F$50,IF(R10="olej opałowy",U10*'Założenia,wskaźniki, listy'!$G$50,IF(R10="sieć ciepłownicza",0,IF(R10="prąd",0,0)))))))</f>
        <v>0</v>
      </c>
      <c r="AQ10" s="568"/>
      <c r="AR10" s="568">
        <f t="shared" si="2"/>
        <v>0</v>
      </c>
      <c r="AS10" s="568">
        <f t="shared" si="3"/>
        <v>0</v>
      </c>
      <c r="AT10" s="568">
        <f>IF(Q10="energia el.",(IF(P10&gt;=50,AE10,X10)+AQ10*Z!$J$46),(IF(P10&gt;=50,AE10,X10)+AQ10*Z!$J$46))</f>
        <v>0</v>
      </c>
      <c r="AU10" s="568">
        <f t="shared" si="4"/>
        <v>0</v>
      </c>
      <c r="AV10" s="568">
        <f t="shared" si="5"/>
        <v>0</v>
      </c>
      <c r="AW10" s="568">
        <f t="shared" si="6"/>
        <v>0</v>
      </c>
      <c r="AX10" s="568">
        <f t="shared" si="7"/>
        <v>0</v>
      </c>
      <c r="AY10" s="88"/>
      <c r="AZ10" s="567"/>
      <c r="BA10" s="564"/>
      <c r="BB10" s="567"/>
      <c r="BC10" s="567"/>
      <c r="BD10" s="567"/>
      <c r="BE10" s="567"/>
      <c r="BF10" s="567"/>
      <c r="BG10" s="567"/>
      <c r="BH10" s="520"/>
      <c r="BI10" s="326">
        <f t="shared" si="8"/>
        <v>0</v>
      </c>
      <c r="BJ10" s="319">
        <f t="shared" si="9"/>
        <v>0</v>
      </c>
      <c r="BK10" s="319" t="b">
        <f t="shared" si="10"/>
        <v>0</v>
      </c>
      <c r="BL10" s="319" t="b">
        <f t="shared" si="11"/>
        <v>0</v>
      </c>
      <c r="BM10" s="319" t="b">
        <f t="shared" si="12"/>
        <v>0</v>
      </c>
      <c r="BN10" s="319" t="b">
        <f t="shared" si="13"/>
        <v>0</v>
      </c>
      <c r="BO10" s="319" t="b">
        <f t="shared" si="14"/>
        <v>0</v>
      </c>
      <c r="BP10" s="319" t="b">
        <f t="shared" si="15"/>
        <v>0</v>
      </c>
      <c r="BQ10" s="319" t="b">
        <f t="shared" si="16"/>
        <v>0</v>
      </c>
      <c r="BR10" s="319" t="b">
        <f t="shared" si="17"/>
        <v>0</v>
      </c>
      <c r="BS10" s="319" t="b">
        <f t="shared" si="18"/>
        <v>0</v>
      </c>
      <c r="BT10" s="319" t="b">
        <f t="shared" si="19"/>
        <v>0</v>
      </c>
      <c r="BU10" s="319" t="b">
        <f t="shared" si="20"/>
        <v>0</v>
      </c>
      <c r="BV10" s="319" t="b">
        <f t="shared" si="21"/>
        <v>0</v>
      </c>
      <c r="BW10" s="319" t="b">
        <f t="shared" si="22"/>
        <v>0</v>
      </c>
      <c r="BX10" s="319" t="b">
        <f t="shared" si="23"/>
        <v>0</v>
      </c>
      <c r="BY10" s="319" t="b">
        <f t="shared" si="24"/>
        <v>0</v>
      </c>
      <c r="BZ10" s="319" t="b">
        <f t="shared" si="25"/>
        <v>0</v>
      </c>
      <c r="CA10" s="319" t="b">
        <f t="shared" si="26"/>
        <v>0</v>
      </c>
      <c r="CB10" s="319" t="b">
        <f t="shared" si="27"/>
        <v>0</v>
      </c>
      <c r="CC10" s="319" t="b">
        <f t="shared" si="28"/>
        <v>0</v>
      </c>
      <c r="CD10" s="319" t="b">
        <f t="shared" si="29"/>
        <v>0</v>
      </c>
      <c r="CE10" s="319" t="b">
        <f t="shared" si="30"/>
        <v>0</v>
      </c>
    </row>
    <row r="11" spans="1:84" ht="17.25" customHeight="1">
      <c r="A11" s="996"/>
      <c r="B11" s="998"/>
      <c r="C11" s="503" t="s">
        <v>175</v>
      </c>
      <c r="E11" s="538"/>
      <c r="F11" s="538"/>
      <c r="G11" s="88"/>
      <c r="H11" s="88"/>
      <c r="I11" s="88">
        <f>IF(E11&lt;=1966,'Założenia,wskaźniki, listy'!$H$4,IF(E11&gt;1966,IF(E11&lt;=1985,'Założenia,wskaźniki, listy'!$H$5,IF(E11&gt;1985,IF(E11&lt;=1992,'Założenia,wskaźniki, listy'!$H$6,IF(E11&gt;1992,IF(E11&lt;=1996,'Założenia,wskaźniki, listy'!$H$7,IF(E11&gt;1996,IF(E11&lt;=2013,'Założenia,wskaźniki, listy'!$H$8)))))))))</f>
        <v>290</v>
      </c>
      <c r="J11" s="88"/>
      <c r="K11" s="455"/>
      <c r="L11" s="455"/>
      <c r="M11" s="456"/>
      <c r="N11" s="456"/>
      <c r="O11" s="456"/>
      <c r="P11" s="456"/>
      <c r="Q11" s="455"/>
      <c r="R11" s="457">
        <f t="shared" si="1"/>
        <v>0</v>
      </c>
      <c r="S11" s="557">
        <f>IF(J11="kompletna",I11*F11*0.0036*'Założenia,wskaźniki, listy'!$C$15,IF(J11="częściowa",I11*F11*0.0036*'Założenia,wskaźniki, listy'!$C$16,IF(J11="brak",I11*F11*0.0036*'Założenia,wskaźniki, listy'!$C$17,0)))</f>
        <v>0</v>
      </c>
      <c r="T11" s="555">
        <f>G11*'Założenia,wskaźniki, listy'!$L$15</f>
        <v>0</v>
      </c>
      <c r="U11" s="594">
        <f>IF(K11="węgiel",L11*'Założenia,wskaźniki, listy'!$B$4,IF(K11="gaz",L11*'Założenia,wskaźniki, listy'!$B$5,IF(K11="drewno",L11*'Założenia,wskaźniki, listy'!$B$6,IF(K11="pelet",L11*'Założenia,wskaźniki, listy'!$B$7,IF(K11="olej opałowy",L11*'Założenia,wskaźniki, listy'!$B$8,IF(K11="sieć ciepłownicza",0,0))))))</f>
        <v>0</v>
      </c>
      <c r="V11" s="540">
        <f>IF(K11="węgiel",U11*'Założenia,wskaźniki, listy'!$C$44,IF(K11="gaz",U11*'Założenia,wskaźniki, listy'!$D$44,IF(K11="drewno",U11*'Założenia,wskaźniki, listy'!$E$44,IF(K11="pelet",U11*'Założenia,wskaźniki, listy'!$F$44,IF(K11="olej opałowy",U11*'Założenia,wskaźniki, listy'!$G$44,IF(K11="sieć ciepłownicza",0,IF(K11="prąd",0,0)))))))</f>
        <v>0</v>
      </c>
      <c r="W11" s="540">
        <f>IF(K11="węgiel",U11*'Założenia,wskaźniki, listy'!$C$45,IF(K11="gaz",U11*'Założenia,wskaźniki, listy'!$D$45,IF(K11="drewno",U11*'Założenia,wskaźniki, listy'!$E$45,IF(K11="pelet",U11*'Założenia,wskaźniki, listy'!$F$45,IF(K11="olej opałowy",U11*'Założenia,wskaźniki, listy'!$G$45,IF(K11="sieć ciepłownicza",0,IF(K11="prąd",0,0)))))))</f>
        <v>0</v>
      </c>
      <c r="X11" s="540">
        <f>IF(K11="węgiel",U11*'Założenia,wskaźniki, listy'!$C$46,IF(K11="gaz",U11*'Założenia,wskaźniki, listy'!$D$46,IF(K11="drewno",U11*'Założenia,wskaźniki, listy'!$E$46,IF(K11="pelet",U11*'Założenia,wskaźniki, listy'!$F$46,IF(K11="olej opałowy",U11*'Założenia,wskaźniki, listy'!$G$46,IF(K11="sieć ciepłownicza",0,IF(K11="prąd",0,0)))))))</f>
        <v>0</v>
      </c>
      <c r="Y11" s="540">
        <f>IF(K11="węgiel",U11*'Założenia,wskaźniki, listy'!$C$47,IF(K11="gaz",U11*'Założenia,wskaźniki, listy'!$D$47,IF(K11="drewno",U11*'Założenia,wskaźniki, listy'!$E$47,IF(K11="pelet",U11*'Założenia,wskaźniki, listy'!$F$47,IF(K11="olej opałowy",U11*'Założenia,wskaźniki, listy'!$G$47,IF(K11="sieć ciepłownicza",0,IF(K11="prąd",0,0)))))))</f>
        <v>0</v>
      </c>
      <c r="Z11" s="540">
        <f>IF(K11="węgiel",U11*'Założenia,wskaźniki, listy'!$C$48,IF(K11="gaz",U11*'Założenia,wskaźniki, listy'!$D$48,IF(K11="drewno",U11*'Założenia,wskaźniki, listy'!$E$48,IF(K11="pelet",U11*'Założenia,wskaźniki, listy'!$F$48,IF(K11="olej opałowy",U11*'Założenia,wskaźniki, listy'!$G$48,IF(K11="sieć ciepłownicza",0,IF(K11="prąd",0,0)))))))</f>
        <v>0</v>
      </c>
      <c r="AA11" s="540">
        <f>IF(K11="węgiel",U11*'Założenia,wskaźniki, listy'!$C$49,IF(K11="gaz",U11*'Założenia,wskaźniki, listy'!$D$49,IF(K11="drewno",U11*'Założenia,wskaźniki, listy'!$E$49,IF(K11="pelet",U11*'Założenia,wskaźniki, listy'!$F$49,IF(K11="olej opałowy",U11*'Założenia,wskaźniki, listy'!$G$49,IF(K11="sieć ciepłownicza",0,IF(K11="prąd",0,0)))))))</f>
        <v>0</v>
      </c>
      <c r="AB11" s="540">
        <f>IF(K11="węgiel",U11*'Założenia,wskaźniki, listy'!$C$50,IF(K11="gaz",U11*'Założenia,wskaźniki, listy'!$D$50,IF(K11="drewno",U11*'Założenia,wskaźniki, listy'!$E$50,IF(K11="pelet",U11*'Założenia,wskaźniki, listy'!$F$50,IF(K11="olej opałowy",U11*'Założenia,wskaźniki, listy'!$G$50,IF(K11="sieć ciepłownicza",0,IF(K11="prąd",0,0)))))))</f>
        <v>0</v>
      </c>
      <c r="AC11" s="540">
        <f>IF(K11="węgiel",U11*Z!$C$44,IF(K11="gaz",U11*Z!$D$44,IF(K11="drewno",U11*Z!$E$44,IF(K11="pelet",U11*Z!$F$44,IF(K11="olej opałowy",U11*Z!$G$44,IF(K11="sieć ciepłownicza",0,IF(K11="prąd",0,0)))))))</f>
        <v>0</v>
      </c>
      <c r="AD11" s="540">
        <f>IF(K11="węgiel",U11*Z!$C$45,IF(K11="gaz",U11*Z!$D$45,IF(K11="drewno",U11*Z!$E$45,IF(K11="pelet",U11*Z!$F$45,IF(K11="olej opałowy",U11*Z!$G$45,IF(K11="sieć ciepłownicza",0,IF(K11="prąd",0,0)))))))</f>
        <v>0</v>
      </c>
      <c r="AE11" s="540">
        <f>IF(K11="węgiel",U11*Z!$C$46,IF(K11="gaz",U11*Z!$D$46,IF(K11="drewno",U11*Z!$E$46,IF(K11="pelet",U11*Z!$F$46,IF(K11="olej opałowy",U11*Z!$G$46,IF(K11="sieć ciepłownicza",0,IF(K11="prąd",0,0)))))))</f>
        <v>0</v>
      </c>
      <c r="AF11" s="540">
        <f>IF(K11="węgiel",U11*Z!$C$47,IF(K11="gaz",U11*Z!$D$47,IF(K11="drewno",U11*Z!$E$47,IF(K11="pelet",U11*Z!$F$47,IF(K11="olej opałowy",U11*Z!$G$47,IF(K11="sieć ciepłownicza",0,IF(K11="prąd",0,0)))))))</f>
        <v>0</v>
      </c>
      <c r="AG11" s="540">
        <f>IF(K11="węgiel",U11*Z!$C$48,IF(K11="gaz",U11*Z!$D$48,IF(K11="drewno",U11*Z!$E$48,IF(K11="pelet",U11*Z!$F$48,IF(K11="olej opałowy",U11*Z!$G$48,IF(K11="sieć ciepłownicza",0,IF(K11="prąd",0,0)))))))</f>
        <v>0</v>
      </c>
      <c r="AH11" s="540">
        <f>IF(K11="węgiel",U11*Z!$C$49,IF(K11="gaz",U11*Z!$D$49,IF(K11="drewno",U11*Z!$E$49,IF(K11="pelet",U11*Z!$F$49,IF(K11="olej opałowy",U11*Z!$G$49,IF(K11="sieć ciepłownicza",0,IF(K11="prąd",0,0)))))))</f>
        <v>0</v>
      </c>
      <c r="AI11" s="540">
        <f>IF(K11="węgiel",U11*Z!$C$50,IF(K11="gaz",U11*Z!$D$50,IF(K11="drewno",U11*Z!$E$50,IF(K11="pelet",U11*Z!$F$50,IF(K11="olej opałowy",U11*Z!$G$50,IF(K11="sieć ciepłownicza",0,IF(K11="prąd",0,0)))))))</f>
        <v>0</v>
      </c>
      <c r="AJ11" s="540">
        <f>IF(Q11="węgiel",T11*'Założenia,wskaźniki, listy'!$C$44,IF(Q11="gaz",T11*'Założenia,wskaźniki, listy'!$D$44,IF(Q11="drewno",T11*'Założenia,wskaźniki, listy'!$E$44,IF(Q11="pelet",T11*'Założenia,wskaźniki, listy'!$F$44,IF(Q11="olej opałowy",T11*'Założenia,wskaźniki, listy'!$G$44,IF(Q11="sieć ciepłownicza",0,IF(Q11="prąd",0,0)))))))</f>
        <v>0</v>
      </c>
      <c r="AK11" s="540">
        <f>IF(R11="węgiel",U11*'Założenia,wskaźniki, listy'!$C$45,IF(R11="gaz",U11*'Założenia,wskaźniki, listy'!$D$45,IF(R11="drewno",U11*'Założenia,wskaźniki, listy'!$E$45,IF(R11="pelet",U11*'Założenia,wskaźniki, listy'!$F$45,IF(R11="olej opałowy",U11*'Założenia,wskaźniki, listy'!$G$45,IF(R11="sieć ciepłownicza",0,IF(R11="prąd",0,0)))))))</f>
        <v>0</v>
      </c>
      <c r="AL11" s="540">
        <f>IF(R11="węgiel",U11*'Założenia,wskaźniki, listy'!$C$46,IF(R11="gaz",U11*'Założenia,wskaźniki, listy'!$D$46,IF(R11="drewno",U11*'Założenia,wskaźniki, listy'!$E$46,IF(R11="pelet",U11*'Założenia,wskaźniki, listy'!$F$46,IF(R11="olej opałowy",U11*'Założenia,wskaźniki, listy'!$G$46,IF(R11="sieć ciepłownicza",0,IF(R11="prąd",0,0)))))))</f>
        <v>0</v>
      </c>
      <c r="AM11" s="540">
        <f>IF(R11="węgiel",U11*'Założenia,wskaźniki, listy'!$C$47,IF(R11="gaz",U11*'Założenia,wskaźniki, listy'!$D$47,IF(R11="drewno",U11*'Założenia,wskaźniki, listy'!$E$47,IF(R11="pelet",U11*'Założenia,wskaźniki, listy'!$F$47,IF(R11="olej opałowy",U11*'Założenia,wskaźniki, listy'!$G$47,IF(R11="sieć ciepłownicza",0,IF(R11="prąd",0,0)))))))</f>
        <v>0</v>
      </c>
      <c r="AN11" s="540">
        <f>IF(R11="węgiel",U11*'Założenia,wskaźniki, listy'!$C$48,IF(R11="gaz",U11*'Założenia,wskaźniki, listy'!$D$48,IF(R11="drewno",U11*'Założenia,wskaźniki, listy'!$E$48,IF(R11="pelet",U11*'Założenia,wskaźniki, listy'!$F$48,IF(R11="olej opałowy",U11*'Założenia,wskaźniki, listy'!$G$48,IF(R11="sieć ciepłownicza",0,IF(R11="prąd",0,0)))))))</f>
        <v>0</v>
      </c>
      <c r="AO11" s="540">
        <f>IF(R11="węgiel",U11*'Założenia,wskaźniki, listy'!$C$49,IF(R11="gaz",U11*'Założenia,wskaźniki, listy'!$D$49,IF(R11="drewno",U11*'Założenia,wskaźniki, listy'!$E$49,IF(R11="pelet",U11*'Założenia,wskaźniki, listy'!$F$49,IF(R11="olej opałowy",U11*'Założenia,wskaźniki, listy'!$G$49,IF(R11="sieć ciepłownicza",0,IF(R11="prąd",0,0)))))))</f>
        <v>0</v>
      </c>
      <c r="AP11" s="540">
        <f>IF(R11="węgiel",U11*'Założenia,wskaźniki, listy'!$C$50,IF(R11="gaz",U11*'Założenia,wskaźniki, listy'!$D$50,IF(R11="drewno",U11*'Założenia,wskaźniki, listy'!$E$50,IF(R11="pelet",U11*'Założenia,wskaźniki, listy'!$F$50,IF(R11="olej opałowy",U11*'Założenia,wskaźniki, listy'!$G$50,IF(R11="sieć ciepłownicza",0,IF(R11="prąd",0,0)))))))</f>
        <v>0</v>
      </c>
      <c r="AQ11" s="540"/>
      <c r="AR11" s="540">
        <f t="shared" si="2"/>
        <v>0</v>
      </c>
      <c r="AS11" s="540">
        <f t="shared" si="3"/>
        <v>0</v>
      </c>
      <c r="AT11" s="540">
        <f>IF(Q11="energia el.",(IF(P11&gt;=50,AE11,X11)+AQ11*Z!$J$46),(IF(P11&gt;=50,AE11,X11)+AQ11*Z!$J$46))</f>
        <v>0</v>
      </c>
      <c r="AU11" s="540">
        <f t="shared" si="4"/>
        <v>0</v>
      </c>
      <c r="AV11" s="540">
        <f t="shared" si="5"/>
        <v>0</v>
      </c>
      <c r="AW11" s="540">
        <f t="shared" si="6"/>
        <v>0</v>
      </c>
      <c r="AX11" s="540">
        <f t="shared" si="7"/>
        <v>0</v>
      </c>
      <c r="AY11" s="88"/>
      <c r="AZ11" s="541"/>
      <c r="BA11" s="536"/>
      <c r="BB11" s="541"/>
      <c r="BC11" s="541"/>
      <c r="BD11" s="541"/>
      <c r="BE11" s="541"/>
      <c r="BF11" s="541"/>
      <c r="BG11" s="541"/>
      <c r="BH11" s="520"/>
      <c r="BI11" s="326">
        <f t="shared" si="8"/>
        <v>0</v>
      </c>
      <c r="BJ11" s="319">
        <f t="shared" si="9"/>
        <v>0</v>
      </c>
      <c r="BK11" s="319" t="b">
        <f t="shared" si="10"/>
        <v>0</v>
      </c>
      <c r="BL11" s="319" t="b">
        <f t="shared" si="11"/>
        <v>0</v>
      </c>
      <c r="BM11" s="319" t="b">
        <f t="shared" si="12"/>
        <v>0</v>
      </c>
      <c r="BN11" s="319" t="b">
        <f t="shared" si="13"/>
        <v>0</v>
      </c>
      <c r="BO11" s="319" t="b">
        <f t="shared" si="14"/>
        <v>0</v>
      </c>
      <c r="BP11" s="319" t="b">
        <f t="shared" si="15"/>
        <v>0</v>
      </c>
      <c r="BQ11" s="319" t="b">
        <f t="shared" si="16"/>
        <v>0</v>
      </c>
      <c r="BR11" s="319" t="b">
        <f t="shared" si="17"/>
        <v>0</v>
      </c>
      <c r="BS11" s="319" t="b">
        <f t="shared" si="18"/>
        <v>0</v>
      </c>
      <c r="BT11" s="319" t="b">
        <f t="shared" si="19"/>
        <v>0</v>
      </c>
      <c r="BU11" s="319" t="b">
        <f t="shared" si="20"/>
        <v>0</v>
      </c>
      <c r="BV11" s="319" t="b">
        <f t="shared" si="21"/>
        <v>0</v>
      </c>
      <c r="BW11" s="319" t="b">
        <f t="shared" si="22"/>
        <v>0</v>
      </c>
      <c r="BX11" s="319" t="b">
        <f t="shared" si="23"/>
        <v>0</v>
      </c>
      <c r="BY11" s="319" t="b">
        <f t="shared" si="24"/>
        <v>0</v>
      </c>
      <c r="BZ11" s="319" t="b">
        <f t="shared" si="25"/>
        <v>0</v>
      </c>
      <c r="CA11" s="319" t="b">
        <f t="shared" si="26"/>
        <v>0</v>
      </c>
      <c r="CB11" s="319" t="b">
        <f t="shared" si="27"/>
        <v>0</v>
      </c>
      <c r="CC11" s="319" t="b">
        <f t="shared" si="28"/>
        <v>0</v>
      </c>
      <c r="CD11" s="319" t="b">
        <f t="shared" si="29"/>
        <v>0</v>
      </c>
      <c r="CE11" s="319" t="b">
        <f t="shared" si="30"/>
        <v>0</v>
      </c>
    </row>
    <row r="12" spans="1:84">
      <c r="A12" s="582">
        <v>7</v>
      </c>
      <c r="B12" s="584"/>
      <c r="C12" s="503" t="s">
        <v>175</v>
      </c>
      <c r="D12" s="585"/>
      <c r="E12" s="585"/>
      <c r="F12" s="585"/>
      <c r="G12" s="88"/>
      <c r="H12" s="88"/>
      <c r="I12" s="88">
        <f>IF(E12&lt;=1966,'Założenia,wskaźniki, listy'!$H$4,IF(E12&gt;1966,IF(E12&lt;=1985,'Założenia,wskaźniki, listy'!$H$5,IF(E12&gt;1985,IF(E12&lt;=1992,'Założenia,wskaźniki, listy'!$H$6,IF(E12&gt;1992,IF(E12&lt;=1996,'Założenia,wskaźniki, listy'!$H$7,IF(E12&gt;1996,IF(E12&lt;=2013,'Założenia,wskaźniki, listy'!$H$8)))))))))</f>
        <v>290</v>
      </c>
      <c r="J12" s="88"/>
      <c r="K12" s="455"/>
      <c r="L12" s="455"/>
      <c r="M12" s="456"/>
      <c r="N12" s="456"/>
      <c r="O12" s="456"/>
      <c r="P12" s="456"/>
      <c r="Q12" s="455"/>
      <c r="R12" s="457">
        <f t="shared" ref="R12" si="31">IF(S12&gt;0,(T12+U12+S12)/2,T12+U12)</f>
        <v>0</v>
      </c>
      <c r="S12" s="587">
        <f>IF(J12="kompletna",I12*F12*0.0036*'Założenia,wskaźniki, listy'!$C$15,IF(J12="częściowa",I12*F12*0.0036*'Założenia,wskaźniki, listy'!$C$16,IF(J12="brak",I12*F12*0.0036*'Założenia,wskaźniki, listy'!$C$17,0)))</f>
        <v>0</v>
      </c>
      <c r="T12" s="588">
        <f>G12*'Założenia,wskaźniki, listy'!$L$15</f>
        <v>0</v>
      </c>
      <c r="U12" s="594">
        <f>IF(K12="węgiel",L12*'Założenia,wskaźniki, listy'!$B$4,IF(K12="gaz",L12*'Założenia,wskaźniki, listy'!$B$5,IF(K12="drewno",L12*'Założenia,wskaźniki, listy'!$B$6,IF(K12="pelet",L12*'Założenia,wskaźniki, listy'!$B$7,IF(K12="olej opałowy",L12*'Założenia,wskaźniki, listy'!$B$8,IF(K12="sieć ciepłownicza",0,0))))))</f>
        <v>0</v>
      </c>
      <c r="V12" s="588">
        <f>IF(K12="węgiel",U12*'Założenia,wskaźniki, listy'!$C$44,IF(K12="gaz",U12*'Założenia,wskaźniki, listy'!$D$44,IF(K12="drewno",U12*'Założenia,wskaźniki, listy'!$E$44,IF(K12="pelet",U12*'Założenia,wskaźniki, listy'!$F$44,IF(K12="olej opałowy",U12*'Założenia,wskaźniki, listy'!$G$44,IF(K12="sieć ciepłownicza",0,IF(K12="prąd",0,0)))))))</f>
        <v>0</v>
      </c>
      <c r="W12" s="588">
        <f>IF(K12="węgiel",U12*'Założenia,wskaźniki, listy'!$C$45,IF(K12="gaz",U12*'Założenia,wskaźniki, listy'!$D$45,IF(K12="drewno",U12*'Założenia,wskaźniki, listy'!$E$45,IF(K12="pelet",U12*'Założenia,wskaźniki, listy'!$F$45,IF(K12="olej opałowy",U12*'Założenia,wskaźniki, listy'!$G$45,IF(K12="sieć ciepłownicza",0,IF(K12="prąd",0,0)))))))</f>
        <v>0</v>
      </c>
      <c r="X12" s="588">
        <f>IF(K12="węgiel",U12*'Założenia,wskaźniki, listy'!$C$46,IF(K12="gaz",U12*'Założenia,wskaźniki, listy'!$D$46,IF(K12="drewno",U12*'Założenia,wskaźniki, listy'!$E$46,IF(K12="pelet",U12*'Założenia,wskaźniki, listy'!$F$46,IF(K12="olej opałowy",U12*'Założenia,wskaźniki, listy'!$G$46,IF(K12="sieć ciepłownicza",0,IF(K12="prąd",0,0)))))))</f>
        <v>0</v>
      </c>
      <c r="Y12" s="588">
        <f>IF(K12="węgiel",U12*'Założenia,wskaźniki, listy'!$C$47,IF(K12="gaz",U12*'Założenia,wskaźniki, listy'!$D$47,IF(K12="drewno",U12*'Założenia,wskaźniki, listy'!$E$47,IF(K12="pelet",U12*'Założenia,wskaźniki, listy'!$F$47,IF(K12="olej opałowy",U12*'Założenia,wskaźniki, listy'!$G$47,IF(K12="sieć ciepłownicza",0,IF(K12="prąd",0,0)))))))</f>
        <v>0</v>
      </c>
      <c r="Z12" s="588">
        <f>IF(K12="węgiel",U12*'Założenia,wskaźniki, listy'!$C$48,IF(K12="gaz",U12*'Założenia,wskaźniki, listy'!$D$48,IF(K12="drewno",U12*'Założenia,wskaźniki, listy'!$E$48,IF(K12="pelet",U12*'Założenia,wskaźniki, listy'!$F$48,IF(K12="olej opałowy",U12*'Założenia,wskaźniki, listy'!$G$48,IF(K12="sieć ciepłownicza",0,IF(K12="prąd",0,0)))))))</f>
        <v>0</v>
      </c>
      <c r="AA12" s="588">
        <f>IF(K12="węgiel",U12*'Założenia,wskaźniki, listy'!$C$49,IF(K12="gaz",U12*'Założenia,wskaźniki, listy'!$D$49,IF(K12="drewno",U12*'Założenia,wskaźniki, listy'!$E$49,IF(K12="pelet",U12*'Założenia,wskaźniki, listy'!$F$49,IF(K12="olej opałowy",U12*'Założenia,wskaźniki, listy'!$G$49,IF(K12="sieć ciepłownicza",0,IF(K12="prąd",0,0)))))))</f>
        <v>0</v>
      </c>
      <c r="AB12" s="588">
        <f>IF(K12="węgiel",U12*'Założenia,wskaźniki, listy'!$C$50,IF(K12="gaz",U12*'Założenia,wskaźniki, listy'!$D$50,IF(K12="drewno",U12*'Założenia,wskaźniki, listy'!$E$50,IF(K12="pelet",U12*'Założenia,wskaźniki, listy'!$F$50,IF(K12="olej opałowy",U12*'Założenia,wskaźniki, listy'!$G$50,IF(K12="sieć ciepłownicza",0,IF(K12="prąd",0,0)))))))</f>
        <v>0</v>
      </c>
      <c r="AC12" s="588">
        <f>IF(K12="węgiel",U12*Z!$C$44,IF(K12="gaz",U12*Z!$D$44,IF(K12="drewno",U12*Z!$E$44,IF(K12="pelet",U12*Z!$F$44,IF(K12="olej opałowy",U12*Z!$G$44,IF(K12="sieć ciepłownicza",0,IF(K12="prąd",0,0)))))))</f>
        <v>0</v>
      </c>
      <c r="AD12" s="588">
        <f>IF(K12="węgiel",U12*Z!$C$45,IF(K12="gaz",U12*Z!$D$45,IF(K12="drewno",U12*Z!$E$45,IF(K12="pelet",U12*Z!$F$45,IF(K12="olej opałowy",U12*Z!$G$45,IF(K12="sieć ciepłownicza",0,IF(K12="prąd",0,0)))))))</f>
        <v>0</v>
      </c>
      <c r="AE12" s="588">
        <f>IF(K12="węgiel",U12*Z!$C$46,IF(K12="gaz",U12*Z!$D$46,IF(K12="drewno",U12*Z!$E$46,IF(K12="pelet",U12*Z!$F$46,IF(K12="olej opałowy",U12*Z!$G$46,IF(K12="sieć ciepłownicza",0,IF(K12="prąd",0,0)))))))</f>
        <v>0</v>
      </c>
      <c r="AF12" s="588">
        <f>IF(K12="węgiel",U12*Z!$C$47,IF(K12="gaz",U12*Z!$D$47,IF(K12="drewno",U12*Z!$E$47,IF(K12="pelet",U12*Z!$F$47,IF(K12="olej opałowy",U12*Z!$G$47,IF(K12="sieć ciepłownicza",0,IF(K12="prąd",0,0)))))))</f>
        <v>0</v>
      </c>
      <c r="AG12" s="588">
        <f>IF(K12="węgiel",U12*Z!$C$48,IF(K12="gaz",U12*Z!$D$48,IF(K12="drewno",U12*Z!$E$48,IF(K12="pelet",U12*Z!$F$48,IF(K12="olej opałowy",U12*Z!$G$48,IF(K12="sieć ciepłownicza",0,IF(K12="prąd",0,0)))))))</f>
        <v>0</v>
      </c>
      <c r="AH12" s="588">
        <f>IF(K12="węgiel",U12*Z!$C$49,IF(K12="gaz",U12*Z!$D$49,IF(K12="drewno",U12*Z!$E$49,IF(K12="pelet",U12*Z!$F$49,IF(K12="olej opałowy",U12*Z!$G$49,IF(K12="sieć ciepłownicza",0,IF(K12="prąd",0,0)))))))</f>
        <v>0</v>
      </c>
      <c r="AI12" s="588">
        <f>IF(K12="węgiel",U12*Z!$C$50,IF(K12="gaz",U12*Z!$D$50,IF(K12="drewno",U12*Z!$E$50,IF(K12="pelet",U12*Z!$F$50,IF(K12="olej opałowy",U12*Z!$G$50,IF(K12="sieć ciepłownicza",0,IF(K12="prąd",0,0)))))))</f>
        <v>0</v>
      </c>
      <c r="AJ12" s="588">
        <f>IF(Q12="węgiel",T12*'Założenia,wskaźniki, listy'!$C$44,IF(Q12="gaz",T12*'Założenia,wskaźniki, listy'!$D$44,IF(Q12="drewno",T12*'Założenia,wskaźniki, listy'!$E$44,IF(Q12="pelet",T12*'Założenia,wskaźniki, listy'!$F$44,IF(Q12="olej opałowy",T12*'Założenia,wskaźniki, listy'!$G$44,IF(Q12="sieć ciepłownicza",0,IF(Q12="prąd",0,0)))))))</f>
        <v>0</v>
      </c>
      <c r="AK12" s="588">
        <f>IF(R12="węgiel",U12*'Założenia,wskaźniki, listy'!$C$45,IF(R12="gaz",U12*'Założenia,wskaźniki, listy'!$D$45,IF(R12="drewno",U12*'Założenia,wskaźniki, listy'!$E$45,IF(R12="pelet",U12*'Założenia,wskaźniki, listy'!$F$45,IF(R12="olej opałowy",U12*'Założenia,wskaźniki, listy'!$G$45,IF(R12="sieć ciepłownicza",0,IF(R12="prąd",0,0)))))))</f>
        <v>0</v>
      </c>
      <c r="AL12" s="588">
        <f>IF(R12="węgiel",U12*'Założenia,wskaźniki, listy'!$C$46,IF(R12="gaz",U12*'Założenia,wskaźniki, listy'!$D$46,IF(R12="drewno",U12*'Założenia,wskaźniki, listy'!$E$46,IF(R12="pelet",U12*'Założenia,wskaźniki, listy'!$F$46,IF(R12="olej opałowy",U12*'Założenia,wskaźniki, listy'!$G$46,IF(R12="sieć ciepłownicza",0,IF(R12="prąd",0,0)))))))</f>
        <v>0</v>
      </c>
      <c r="AM12" s="588">
        <f>IF(R12="węgiel",U12*'Założenia,wskaźniki, listy'!$C$47,IF(R12="gaz",U12*'Założenia,wskaźniki, listy'!$D$47,IF(R12="drewno",U12*'Założenia,wskaźniki, listy'!$E$47,IF(R12="pelet",U12*'Założenia,wskaźniki, listy'!$F$47,IF(R12="olej opałowy",U12*'Założenia,wskaźniki, listy'!$G$47,IF(R12="sieć ciepłownicza",0,IF(R12="prąd",0,0)))))))</f>
        <v>0</v>
      </c>
      <c r="AN12" s="588">
        <f>IF(R12="węgiel",U12*'Założenia,wskaźniki, listy'!$C$48,IF(R12="gaz",U12*'Założenia,wskaźniki, listy'!$D$48,IF(R12="drewno",U12*'Założenia,wskaźniki, listy'!$E$48,IF(R12="pelet",U12*'Założenia,wskaźniki, listy'!$F$48,IF(R12="olej opałowy",U12*'Założenia,wskaźniki, listy'!$G$48,IF(R12="sieć ciepłownicza",0,IF(R12="prąd",0,0)))))))</f>
        <v>0</v>
      </c>
      <c r="AO12" s="588">
        <f>IF(R12="węgiel",U12*'Założenia,wskaźniki, listy'!$C$49,IF(R12="gaz",U12*'Założenia,wskaźniki, listy'!$D$49,IF(R12="drewno",U12*'Założenia,wskaźniki, listy'!$E$49,IF(R12="pelet",U12*'Założenia,wskaźniki, listy'!$F$49,IF(R12="olej opałowy",U12*'Założenia,wskaźniki, listy'!$G$49,IF(R12="sieć ciepłownicza",0,IF(R12="prąd",0,0)))))))</f>
        <v>0</v>
      </c>
      <c r="AP12" s="588">
        <f>IF(R12="węgiel",U12*'Założenia,wskaźniki, listy'!$C$50,IF(R12="gaz",U12*'Założenia,wskaźniki, listy'!$D$50,IF(R12="drewno",U12*'Założenia,wskaźniki, listy'!$E$50,IF(R12="pelet",U12*'Założenia,wskaźniki, listy'!$F$50,IF(R12="olej opałowy",U12*'Założenia,wskaźniki, listy'!$G$50,IF(R12="sieć ciepłownicza",0,IF(R12="prąd",0,0)))))))</f>
        <v>0</v>
      </c>
      <c r="AQ12" s="588"/>
      <c r="AR12" s="588">
        <f t="shared" si="2"/>
        <v>0</v>
      </c>
      <c r="AS12" s="588">
        <f t="shared" si="3"/>
        <v>0</v>
      </c>
      <c r="AT12" s="588">
        <f>IF(Q12="energia el.",(IF(P12&gt;=50,AE12,X12)+AQ12*Z!$J$46),(IF(P12&gt;=50,AE12,X12)+AQ12*Z!$J$46))</f>
        <v>0</v>
      </c>
      <c r="AU12" s="588">
        <f t="shared" si="4"/>
        <v>0</v>
      </c>
      <c r="AV12" s="588">
        <f t="shared" si="5"/>
        <v>0</v>
      </c>
      <c r="AW12" s="588">
        <f t="shared" si="6"/>
        <v>0</v>
      </c>
      <c r="AX12" s="588">
        <f t="shared" si="7"/>
        <v>0</v>
      </c>
      <c r="AY12" s="88"/>
      <c r="AZ12" s="586"/>
      <c r="BA12" s="583"/>
      <c r="BB12" s="586"/>
      <c r="BC12" s="586"/>
      <c r="BD12" s="586"/>
      <c r="BE12" s="586"/>
      <c r="BF12" s="586"/>
      <c r="BG12" s="586"/>
      <c r="BH12" s="520"/>
      <c r="BI12" s="326">
        <f t="shared" si="8"/>
        <v>0</v>
      </c>
      <c r="BJ12" s="319">
        <f t="shared" si="9"/>
        <v>0</v>
      </c>
      <c r="BK12" s="319" t="b">
        <f t="shared" si="10"/>
        <v>0</v>
      </c>
      <c r="BL12" s="319" t="b">
        <f t="shared" si="11"/>
        <v>0</v>
      </c>
      <c r="BM12" s="319" t="b">
        <f t="shared" si="12"/>
        <v>0</v>
      </c>
      <c r="BN12" s="319" t="b">
        <f t="shared" si="13"/>
        <v>0</v>
      </c>
      <c r="BO12" s="319" t="b">
        <f t="shared" si="14"/>
        <v>0</v>
      </c>
      <c r="BP12" s="319" t="b">
        <f t="shared" si="15"/>
        <v>0</v>
      </c>
      <c r="BQ12" s="319" t="b">
        <f t="shared" si="16"/>
        <v>0</v>
      </c>
      <c r="BR12" s="319" t="b">
        <f t="shared" si="17"/>
        <v>0</v>
      </c>
      <c r="BS12" s="319" t="b">
        <f t="shared" si="18"/>
        <v>0</v>
      </c>
      <c r="BT12" s="319" t="b">
        <f t="shared" si="19"/>
        <v>0</v>
      </c>
      <c r="BU12" s="319" t="b">
        <f t="shared" si="20"/>
        <v>0</v>
      </c>
      <c r="BV12" s="319" t="b">
        <f t="shared" si="21"/>
        <v>0</v>
      </c>
      <c r="BW12" s="319" t="b">
        <f t="shared" si="22"/>
        <v>0</v>
      </c>
      <c r="BX12" s="319" t="b">
        <f t="shared" si="23"/>
        <v>0</v>
      </c>
      <c r="BY12" s="319" t="b">
        <f t="shared" si="24"/>
        <v>0</v>
      </c>
      <c r="BZ12" s="319" t="b">
        <f t="shared" si="25"/>
        <v>0</v>
      </c>
      <c r="CA12" s="319" t="b">
        <f t="shared" si="26"/>
        <v>0</v>
      </c>
      <c r="CB12" s="319" t="b">
        <f t="shared" si="27"/>
        <v>0</v>
      </c>
      <c r="CC12" s="319" t="b">
        <f t="shared" si="28"/>
        <v>0</v>
      </c>
      <c r="CD12" s="319" t="b">
        <f t="shared" si="29"/>
        <v>0</v>
      </c>
      <c r="CE12" s="319" t="b">
        <f t="shared" si="30"/>
        <v>0</v>
      </c>
    </row>
    <row r="13" spans="1:84">
      <c r="A13" s="539">
        <v>8</v>
      </c>
      <c r="B13" s="537"/>
      <c r="C13" s="503" t="s">
        <v>175</v>
      </c>
      <c r="E13" s="538"/>
      <c r="F13" s="538"/>
      <c r="G13" s="88"/>
      <c r="H13" s="88"/>
      <c r="I13" s="88">
        <f>IF(E13&lt;=1966,'Założenia,wskaźniki, listy'!$H$4,IF(E13&gt;1966,IF(E13&lt;=1985,'Założenia,wskaźniki, listy'!$H$5,IF(E13&gt;1985,IF(E13&lt;=1992,'Założenia,wskaźniki, listy'!$H$6,IF(E13&gt;1992,IF(E13&lt;=1996,'Założenia,wskaźniki, listy'!$H$7,IF(E13&gt;1996,IF(E13&lt;=2013,'Założenia,wskaźniki, listy'!$H$8)))))))))</f>
        <v>290</v>
      </c>
      <c r="J13" s="88"/>
      <c r="K13" s="455"/>
      <c r="L13" s="455"/>
      <c r="M13" s="456"/>
      <c r="N13" s="456"/>
      <c r="O13" s="456"/>
      <c r="P13" s="456"/>
      <c r="Q13" s="455"/>
      <c r="R13" s="457">
        <f t="shared" si="1"/>
        <v>0</v>
      </c>
      <c r="S13" s="548">
        <f>IF(J13="kompletna",I13*F13*0.0036*'Założenia,wskaźniki, listy'!$C$15,IF(J13="częściowa",I13*F13*0.0036*'Założenia,wskaźniki, listy'!$C$16,IF(J13="brak",I13*F13*0.0036*'Założenia,wskaźniki, listy'!$C$17,0)))</f>
        <v>0</v>
      </c>
      <c r="T13" s="555">
        <f>G13*'Założenia,wskaźniki, listy'!$L$15</f>
        <v>0</v>
      </c>
      <c r="U13" s="594">
        <f>IF(K13="węgiel",L13*'Założenia,wskaźniki, listy'!$B$4,IF(K13="gaz",L13*'Założenia,wskaźniki, listy'!$B$5,IF(K13="drewno",L13*'Założenia,wskaźniki, listy'!$B$6,IF(K13="pelet",L13*'Założenia,wskaźniki, listy'!$B$7,IF(K13="olej opałowy",L13*'Założenia,wskaźniki, listy'!$B$8,IF(K13="sieć ciepłownicza",0,0))))))</f>
        <v>0</v>
      </c>
      <c r="V13" s="540">
        <f>IF(K13="węgiel",U13*'Założenia,wskaźniki, listy'!$C$44,IF(K13="gaz",U13*'Założenia,wskaźniki, listy'!$D$44,IF(K13="drewno",U13*'Założenia,wskaźniki, listy'!$E$44,IF(K13="pelet",U13*'Założenia,wskaźniki, listy'!$F$44,IF(K13="olej opałowy",U13*'Założenia,wskaźniki, listy'!$G$44,IF(K13="sieć ciepłownicza",0,IF(K13="prąd",0,0)))))))</f>
        <v>0</v>
      </c>
      <c r="W13" s="540">
        <f>IF(K13="węgiel",U13*'Założenia,wskaźniki, listy'!$C$45,IF(K13="gaz",U13*'Założenia,wskaźniki, listy'!$D$45,IF(K13="drewno",U13*'Założenia,wskaźniki, listy'!$E$45,IF(K13="pelet",U13*'Założenia,wskaźniki, listy'!$F$45,IF(K13="olej opałowy",U13*'Założenia,wskaźniki, listy'!$G$45,IF(K13="sieć ciepłownicza",0,IF(K13="prąd",0,0)))))))</f>
        <v>0</v>
      </c>
      <c r="X13" s="540">
        <f>IF(K13="węgiel",U13*'Założenia,wskaźniki, listy'!$C$46,IF(K13="gaz",U13*'Założenia,wskaźniki, listy'!$D$46,IF(K13="drewno",U13*'Założenia,wskaźniki, listy'!$E$46,IF(K13="pelet",U13*'Założenia,wskaźniki, listy'!$F$46,IF(K13="olej opałowy",U13*'Założenia,wskaźniki, listy'!$G$46,IF(K13="sieć ciepłownicza",0,IF(K13="prąd",0,0)))))))</f>
        <v>0</v>
      </c>
      <c r="Y13" s="540">
        <f>IF(K13="węgiel",U13*'Założenia,wskaźniki, listy'!$C$47,IF(K13="gaz",U13*'Założenia,wskaźniki, listy'!$D$47,IF(K13="drewno",U13*'Założenia,wskaźniki, listy'!$E$47,IF(K13="pelet",U13*'Założenia,wskaźniki, listy'!$F$47,IF(K13="olej opałowy",U13*'Założenia,wskaźniki, listy'!$G$47,IF(K13="sieć ciepłownicza",0,IF(K13="prąd",0,0)))))))</f>
        <v>0</v>
      </c>
      <c r="Z13" s="540">
        <f>IF(K13="węgiel",U13*'Założenia,wskaźniki, listy'!$C$48,IF(K13="gaz",U13*'Założenia,wskaźniki, listy'!$D$48,IF(K13="drewno",U13*'Założenia,wskaźniki, listy'!$E$48,IF(K13="pelet",U13*'Założenia,wskaźniki, listy'!$F$48,IF(K13="olej opałowy",U13*'Założenia,wskaźniki, listy'!$G$48,IF(K13="sieć ciepłownicza",0,IF(K13="prąd",0,0)))))))</f>
        <v>0</v>
      </c>
      <c r="AA13" s="540">
        <f>IF(K13="węgiel",U13*'Założenia,wskaźniki, listy'!$C$49,IF(K13="gaz",U13*'Założenia,wskaźniki, listy'!$D$49,IF(K13="drewno",U13*'Założenia,wskaźniki, listy'!$E$49,IF(K13="pelet",U13*'Założenia,wskaźniki, listy'!$F$49,IF(K13="olej opałowy",U13*'Założenia,wskaźniki, listy'!$G$49,IF(K13="sieć ciepłownicza",0,IF(K13="prąd",0,0)))))))</f>
        <v>0</v>
      </c>
      <c r="AB13" s="540">
        <f>IF(K13="węgiel",U13*'Założenia,wskaźniki, listy'!$C$50,IF(K13="gaz",U13*'Założenia,wskaźniki, listy'!$D$50,IF(K13="drewno",U13*'Założenia,wskaźniki, listy'!$E$50,IF(K13="pelet",U13*'Założenia,wskaźniki, listy'!$F$50,IF(K13="olej opałowy",U13*'Założenia,wskaźniki, listy'!$G$50,IF(K13="sieć ciepłownicza",0,IF(K13="prąd",0,0)))))))</f>
        <v>0</v>
      </c>
      <c r="AC13" s="540">
        <f>IF(K13="węgiel",U13*Z!$C$44,IF(K13="gaz",U13*Z!$D$44,IF(K13="drewno",U13*Z!$E$44,IF(K13="pelet",U13*Z!$F$44,IF(K13="olej opałowy",U13*Z!$G$44,IF(K13="sieć ciepłownicza",0,IF(K13="prąd",0,0)))))))</f>
        <v>0</v>
      </c>
      <c r="AD13" s="540">
        <f>IF(K13="węgiel",U13*Z!$C$45,IF(K13="gaz",U13*Z!$D$45,IF(K13="drewno",U13*Z!$E$45,IF(K13="pelet",U13*Z!$F$45,IF(K13="olej opałowy",U13*Z!$G$45,IF(K13="sieć ciepłownicza",0,IF(K13="prąd",0,0)))))))</f>
        <v>0</v>
      </c>
      <c r="AE13" s="540">
        <f>IF(K13="węgiel",U13*Z!$C$46,IF(K13="gaz",U13*Z!$D$46,IF(K13="drewno",U13*Z!$E$46,IF(K13="pelet",U13*Z!$F$46,IF(K13="olej opałowy",U13*Z!$G$46,IF(K13="sieć ciepłownicza",0,IF(K13="prąd",0,0)))))))</f>
        <v>0</v>
      </c>
      <c r="AF13" s="540">
        <f>IF(K13="węgiel",U13*Z!$C$47,IF(K13="gaz",U13*Z!$D$47,IF(K13="drewno",U13*Z!$E$47,IF(K13="pelet",U13*Z!$F$47,IF(K13="olej opałowy",U13*Z!$G$47,IF(K13="sieć ciepłownicza",0,IF(K13="prąd",0,0)))))))</f>
        <v>0</v>
      </c>
      <c r="AG13" s="540">
        <f>IF(K13="węgiel",U13*Z!$C$48,IF(K13="gaz",U13*Z!$D$48,IF(K13="drewno",U13*Z!$E$48,IF(K13="pelet",U13*Z!$F$48,IF(K13="olej opałowy",U13*Z!$G$48,IF(K13="sieć ciepłownicza",0,IF(K13="prąd",0,0)))))))</f>
        <v>0</v>
      </c>
      <c r="AH13" s="540">
        <f>IF(K13="węgiel",U13*Z!$C$49,IF(K13="gaz",U13*Z!$D$49,IF(K13="drewno",U13*Z!$E$49,IF(K13="pelet",U13*Z!$F$49,IF(K13="olej opałowy",U13*Z!$G$49,IF(K13="sieć ciepłownicza",0,IF(K13="prąd",0,0)))))))</f>
        <v>0</v>
      </c>
      <c r="AI13" s="540">
        <f>IF(K13="węgiel",U13*Z!$C$50,IF(K13="gaz",U13*Z!$D$50,IF(K13="drewno",U13*Z!$E$50,IF(K13="pelet",U13*Z!$F$50,IF(K13="olej opałowy",U13*Z!$G$50,IF(K13="sieć ciepłownicza",0,IF(K13="prąd",0,0)))))))</f>
        <v>0</v>
      </c>
      <c r="AJ13" s="540">
        <f>IF(Q13="węgiel",T13*'Założenia,wskaźniki, listy'!$C$44,IF(Q13="gaz",T13*'Założenia,wskaźniki, listy'!$D$44,IF(Q13="drewno",T13*'Założenia,wskaźniki, listy'!$E$44,IF(Q13="pelet",T13*'Założenia,wskaźniki, listy'!$F$44,IF(Q13="olej opałowy",T13*'Założenia,wskaźniki, listy'!$G$44,IF(Q13="sieć ciepłownicza",0,IF(Q13="prąd",0,0)))))))</f>
        <v>0</v>
      </c>
      <c r="AK13" s="540">
        <f>IF(R13="węgiel",U13*'Założenia,wskaźniki, listy'!$C$45,IF(R13="gaz",U13*'Założenia,wskaźniki, listy'!$D$45,IF(R13="drewno",U13*'Założenia,wskaźniki, listy'!$E$45,IF(R13="pelet",U13*'Założenia,wskaźniki, listy'!$F$45,IF(R13="olej opałowy",U13*'Założenia,wskaźniki, listy'!$G$45,IF(R13="sieć ciepłownicza",0,IF(R13="prąd",0,0)))))))</f>
        <v>0</v>
      </c>
      <c r="AL13" s="540">
        <f>IF(R13="węgiel",U13*'Założenia,wskaźniki, listy'!$C$46,IF(R13="gaz",U13*'Założenia,wskaźniki, listy'!$D$46,IF(R13="drewno",U13*'Założenia,wskaźniki, listy'!$E$46,IF(R13="pelet",U13*'Założenia,wskaźniki, listy'!$F$46,IF(R13="olej opałowy",U13*'Założenia,wskaźniki, listy'!$G$46,IF(R13="sieć ciepłownicza",0,IF(R13="prąd",0,0)))))))</f>
        <v>0</v>
      </c>
      <c r="AM13" s="540">
        <f>IF(R13="węgiel",U13*'Założenia,wskaźniki, listy'!$C$47,IF(R13="gaz",U13*'Założenia,wskaźniki, listy'!$D$47,IF(R13="drewno",U13*'Założenia,wskaźniki, listy'!$E$47,IF(R13="pelet",U13*'Założenia,wskaźniki, listy'!$F$47,IF(R13="olej opałowy",U13*'Założenia,wskaźniki, listy'!$G$47,IF(R13="sieć ciepłownicza",0,IF(R13="prąd",0,0)))))))</f>
        <v>0</v>
      </c>
      <c r="AN13" s="540">
        <f>IF(R13="węgiel",U13*'Założenia,wskaźniki, listy'!$C$48,IF(R13="gaz",U13*'Założenia,wskaźniki, listy'!$D$48,IF(R13="drewno",U13*'Założenia,wskaźniki, listy'!$E$48,IF(R13="pelet",U13*'Założenia,wskaźniki, listy'!$F$48,IF(R13="olej opałowy",U13*'Założenia,wskaźniki, listy'!$G$48,IF(R13="sieć ciepłownicza",0,IF(R13="prąd",0,0)))))))</f>
        <v>0</v>
      </c>
      <c r="AO13" s="540">
        <f>IF(R13="węgiel",U13*'Założenia,wskaźniki, listy'!$C$49,IF(R13="gaz",U13*'Założenia,wskaźniki, listy'!$D$49,IF(R13="drewno",U13*'Założenia,wskaźniki, listy'!$E$49,IF(R13="pelet",U13*'Założenia,wskaźniki, listy'!$F$49,IF(R13="olej opałowy",U13*'Założenia,wskaźniki, listy'!$G$49,IF(R13="sieć ciepłownicza",0,IF(R13="prąd",0,0)))))))</f>
        <v>0</v>
      </c>
      <c r="AP13" s="540">
        <f>IF(R13="węgiel",U13*'Założenia,wskaźniki, listy'!$C$50,IF(R13="gaz",U13*'Założenia,wskaźniki, listy'!$D$50,IF(R13="drewno",U13*'Założenia,wskaźniki, listy'!$E$50,IF(R13="pelet",U13*'Założenia,wskaźniki, listy'!$F$50,IF(R13="olej opałowy",U13*'Założenia,wskaźniki, listy'!$G$50,IF(R13="sieć ciepłownicza",0,IF(R13="prąd",0,0)))))))</f>
        <v>0</v>
      </c>
      <c r="AQ13" s="540"/>
      <c r="AR13" s="540">
        <f t="shared" si="2"/>
        <v>0</v>
      </c>
      <c r="AS13" s="540">
        <f t="shared" si="3"/>
        <v>0</v>
      </c>
      <c r="AT13" s="540">
        <f>IF(Q13="energia el.",(IF(P13&gt;=50,AE13,X13)+AQ13*Z!$J$46),(IF(P13&gt;=50,AE13,X13)+AQ13*Z!$J$46))</f>
        <v>0</v>
      </c>
      <c r="AU13" s="540">
        <f t="shared" si="4"/>
        <v>0</v>
      </c>
      <c r="AV13" s="540">
        <f t="shared" si="5"/>
        <v>0</v>
      </c>
      <c r="AW13" s="540">
        <f t="shared" si="6"/>
        <v>0</v>
      </c>
      <c r="AX13" s="540">
        <f t="shared" si="7"/>
        <v>0</v>
      </c>
      <c r="AY13" s="88"/>
      <c r="AZ13" s="541"/>
      <c r="BA13" s="536"/>
      <c r="BB13" s="541"/>
      <c r="BC13" s="541"/>
      <c r="BD13" s="541"/>
      <c r="BE13" s="541"/>
      <c r="BF13" s="541"/>
      <c r="BG13" s="541"/>
      <c r="BH13" s="520"/>
      <c r="BI13" s="326">
        <f t="shared" si="8"/>
        <v>0</v>
      </c>
      <c r="BJ13" s="319">
        <f t="shared" si="9"/>
        <v>0</v>
      </c>
      <c r="BK13" s="319" t="b">
        <f t="shared" si="10"/>
        <v>0</v>
      </c>
      <c r="BL13" s="319" t="b">
        <f t="shared" si="11"/>
        <v>0</v>
      </c>
      <c r="BM13" s="319" t="b">
        <f t="shared" si="12"/>
        <v>0</v>
      </c>
      <c r="BN13" s="319" t="b">
        <f t="shared" si="13"/>
        <v>0</v>
      </c>
      <c r="BO13" s="319" t="b">
        <f t="shared" si="14"/>
        <v>0</v>
      </c>
      <c r="BP13" s="319" t="b">
        <f t="shared" si="15"/>
        <v>0</v>
      </c>
      <c r="BQ13" s="319" t="b">
        <f t="shared" si="16"/>
        <v>0</v>
      </c>
      <c r="BR13" s="319" t="b">
        <f t="shared" si="17"/>
        <v>0</v>
      </c>
      <c r="BS13" s="319" t="b">
        <f t="shared" si="18"/>
        <v>0</v>
      </c>
      <c r="BT13" s="319" t="b">
        <f t="shared" si="19"/>
        <v>0</v>
      </c>
      <c r="BU13" s="319" t="b">
        <f t="shared" si="20"/>
        <v>0</v>
      </c>
      <c r="BV13" s="319" t="b">
        <f t="shared" si="21"/>
        <v>0</v>
      </c>
      <c r="BW13" s="319" t="b">
        <f t="shared" si="22"/>
        <v>0</v>
      </c>
      <c r="BX13" s="319" t="b">
        <f t="shared" si="23"/>
        <v>0</v>
      </c>
      <c r="BY13" s="319" t="b">
        <f t="shared" si="24"/>
        <v>0</v>
      </c>
      <c r="BZ13" s="319" t="b">
        <f t="shared" si="25"/>
        <v>0</v>
      </c>
      <c r="CA13" s="319" t="b">
        <f t="shared" si="26"/>
        <v>0</v>
      </c>
      <c r="CB13" s="319" t="b">
        <f t="shared" si="27"/>
        <v>0</v>
      </c>
      <c r="CC13" s="319" t="b">
        <f t="shared" si="28"/>
        <v>0</v>
      </c>
      <c r="CD13" s="319" t="b">
        <f t="shared" si="29"/>
        <v>0</v>
      </c>
      <c r="CE13" s="319" t="b">
        <f t="shared" si="30"/>
        <v>0</v>
      </c>
    </row>
    <row r="14" spans="1:84">
      <c r="A14" s="539">
        <v>9</v>
      </c>
      <c r="B14" s="537"/>
      <c r="C14" s="503" t="s">
        <v>175</v>
      </c>
      <c r="D14" s="585"/>
      <c r="E14" s="538"/>
      <c r="F14" s="538"/>
      <c r="G14" s="88"/>
      <c r="H14" s="88"/>
      <c r="I14" s="88">
        <f>IF(E14&lt;=1966,'Założenia,wskaźniki, listy'!$H$4,IF(E14&gt;1966,IF(E14&lt;=1985,'Założenia,wskaźniki, listy'!$H$5,IF(E14&gt;1985,IF(E14&lt;=1992,'Założenia,wskaźniki, listy'!$H$6,IF(E14&gt;1992,IF(E14&lt;=1996,'Założenia,wskaźniki, listy'!$H$7,IF(E14&gt;1996,IF(E14&lt;=2013,'Założenia,wskaźniki, listy'!$H$8)))))))))</f>
        <v>290</v>
      </c>
      <c r="J14" s="88"/>
      <c r="K14" s="88"/>
      <c r="L14" s="88"/>
      <c r="M14" s="541"/>
      <c r="N14" s="541"/>
      <c r="O14" s="541"/>
      <c r="P14" s="541"/>
      <c r="Q14" s="88"/>
      <c r="R14" s="457">
        <f t="shared" si="1"/>
        <v>0</v>
      </c>
      <c r="S14" s="587">
        <f>IF(J14="kompletna",I14*F14*0.0036*'Założenia,wskaźniki, listy'!$C$15,IF(J14="częściowa",I14*F14*0.0036*'Założenia,wskaźniki, listy'!$C$16,IF(J14="brak",I14*F14*0.0036*'Założenia,wskaźniki, listy'!$C$17,0)))</f>
        <v>0</v>
      </c>
      <c r="T14" s="540">
        <f>G14*'Założenia,wskaźniki, listy'!$L$16</f>
        <v>0</v>
      </c>
      <c r="U14" s="594">
        <f>IF(K14="węgiel",L14*'Założenia,wskaźniki, listy'!$B$4,IF(K14="gaz",L14*'Założenia,wskaźniki, listy'!$B$5,IF(K14="drewno",L14*'Założenia,wskaźniki, listy'!$B$6,IF(K14="pelet",L14*'Założenia,wskaźniki, listy'!$B$7,IF(K14="olej opałowy",L14*'Założenia,wskaźniki, listy'!$B$8,IF(K14="sieć ciepłownicza",0,0))))))</f>
        <v>0</v>
      </c>
      <c r="V14" s="540">
        <f>IF(K14="węgiel",U14*'Założenia,wskaźniki, listy'!$C$44,IF(K14="gaz",U14*'Założenia,wskaźniki, listy'!$D$44,IF(K14="drewno",U14*'Założenia,wskaźniki, listy'!$E$44,IF(K14="pelet",U14*'Założenia,wskaźniki, listy'!$F$44,IF(K14="olej opałowy",U14*'Założenia,wskaźniki, listy'!$G$44,IF(K14="sieć ciepłownicza",0,IF(K14="prąd",0,0)))))))</f>
        <v>0</v>
      </c>
      <c r="W14" s="540">
        <f>IF(K14="węgiel",U14*'Założenia,wskaźniki, listy'!$C$45,IF(K14="gaz",U14*'Założenia,wskaźniki, listy'!$D$45,IF(K14="drewno",U14*'Założenia,wskaźniki, listy'!$E$45,IF(K14="pelet",U14*'Założenia,wskaźniki, listy'!$F$45,IF(K14="olej opałowy",U14*'Założenia,wskaźniki, listy'!$G$45,IF(K14="sieć ciepłownicza",0,IF(K14="prąd",0,0)))))))</f>
        <v>0</v>
      </c>
      <c r="X14" s="540">
        <f>IF(K14="węgiel",U14*'Założenia,wskaźniki, listy'!$C$46,IF(K14="gaz",U14*'Założenia,wskaźniki, listy'!$D$46,IF(K14="drewno",U14*'Założenia,wskaźniki, listy'!$E$46,IF(K14="pelet",U14*'Założenia,wskaźniki, listy'!$F$46,IF(K14="olej opałowy",U14*'Założenia,wskaźniki, listy'!$G$46,IF(K14="sieć ciepłownicza",0,IF(K14="prąd",0,0)))))))</f>
        <v>0</v>
      </c>
      <c r="Y14" s="540">
        <f>IF(K14="węgiel",U14*'Założenia,wskaźniki, listy'!$C$47,IF(K14="gaz",U14*'Założenia,wskaźniki, listy'!$D$47,IF(K14="drewno",U14*'Założenia,wskaźniki, listy'!$E$47,IF(K14="pelet",U14*'Założenia,wskaźniki, listy'!$F$47,IF(K14="olej opałowy",U14*'Założenia,wskaźniki, listy'!$G$47,IF(K14="sieć ciepłownicza",0,IF(K14="prąd",0,0)))))))</f>
        <v>0</v>
      </c>
      <c r="Z14" s="540">
        <f>IF(K14="węgiel",U14*'Założenia,wskaźniki, listy'!$C$48,IF(K14="gaz",U14*'Założenia,wskaźniki, listy'!$D$48,IF(K14="drewno",U14*'Założenia,wskaźniki, listy'!$E$48,IF(K14="pelet",U14*'Założenia,wskaźniki, listy'!$F$48,IF(K14="olej opałowy",U14*'Założenia,wskaźniki, listy'!$G$48,IF(K14="sieć ciepłownicza",0,IF(K14="prąd",0,0)))))))</f>
        <v>0</v>
      </c>
      <c r="AA14" s="540">
        <f>IF(K14="węgiel",U14*'Założenia,wskaźniki, listy'!$C$49,IF(K14="gaz",U14*'Założenia,wskaźniki, listy'!$D$49,IF(K14="drewno",U14*'Założenia,wskaźniki, listy'!$E$49,IF(K14="pelet",U14*'Założenia,wskaźniki, listy'!$F$49,IF(K14="olej opałowy",U14*'Założenia,wskaźniki, listy'!$G$49,IF(K14="sieć ciepłownicza",0,IF(K14="prąd",0,0)))))))</f>
        <v>0</v>
      </c>
      <c r="AB14" s="540">
        <f>IF(K14="węgiel",U14*'Założenia,wskaźniki, listy'!$C$50,IF(K14="gaz",U14*'Założenia,wskaźniki, listy'!$D$50,IF(K14="drewno",U14*'Założenia,wskaźniki, listy'!$E$50,IF(K14="pelet",U14*'Założenia,wskaźniki, listy'!$F$50,IF(K14="olej opałowy",U14*'Założenia,wskaźniki, listy'!$G$50,IF(K14="sieć ciepłownicza",0,IF(K14="prąd",0,0)))))))</f>
        <v>0</v>
      </c>
      <c r="AC14" s="540">
        <f>IF(K14="węgiel",U14*Z!$C$44,IF(K14="gaz",U14*Z!$D$44,IF(K14="drewno",U14*Z!$E$44,IF(K14="pelet",U14*Z!$F$44,IF(K14="olej opałowy",U14*Z!$G$44,IF(K14="sieć ciepłownicza",0,IF(K14="prąd",0,0)))))))</f>
        <v>0</v>
      </c>
      <c r="AD14" s="540">
        <f>IF(K14="węgiel",U14*Z!$C$45,IF(K14="gaz",U14*Z!$D$45,IF(K14="drewno",U14*Z!$E$45,IF(K14="pelet",U14*Z!$F$45,IF(K14="olej opałowy",U14*Z!$G$45,IF(K14="sieć ciepłownicza",0,IF(K14="prąd",0,0)))))))</f>
        <v>0</v>
      </c>
      <c r="AE14" s="540">
        <f>IF(K14="węgiel",U14*Z!$C$46,IF(K14="gaz",U14*Z!$D$46,IF(K14="drewno",U14*Z!$E$46,IF(K14="pelet",U14*Z!$F$46,IF(K14="olej opałowy",U14*Z!$G$46,IF(K14="sieć ciepłownicza",0,IF(K14="prąd",0,0)))))))</f>
        <v>0</v>
      </c>
      <c r="AF14" s="540">
        <f>IF(K14="węgiel",U14*Z!$C$47,IF(K14="gaz",U14*Z!$D$47,IF(K14="drewno",U14*Z!$E$47,IF(K14="pelet",U14*Z!$F$47,IF(K14="olej opałowy",U14*Z!$G$47,IF(K14="sieć ciepłownicza",0,IF(K14="prąd",0,0)))))))</f>
        <v>0</v>
      </c>
      <c r="AG14" s="540">
        <f>IF(K14="węgiel",U14*Z!$C$48,IF(K14="gaz",U14*Z!$D$48,IF(K14="drewno",U14*Z!$E$48,IF(K14="pelet",U14*Z!$F$48,IF(K14="olej opałowy",U14*Z!$G$48,IF(K14="sieć ciepłownicza",0,IF(K14="prąd",0,0)))))))</f>
        <v>0</v>
      </c>
      <c r="AH14" s="540">
        <f>IF(K14="węgiel",U14*Z!$C$49,IF(K14="gaz",U14*Z!$D$49,IF(K14="drewno",U14*Z!$E$49,IF(K14="pelet",U14*Z!$F$49,IF(K14="olej opałowy",U14*Z!$G$49,IF(K14="sieć ciepłownicza",0,IF(K14="prąd",0,0)))))))</f>
        <v>0</v>
      </c>
      <c r="AI14" s="540">
        <f>IF(K14="węgiel",U14*Z!$C$50,IF(K14="gaz",U14*Z!$D$50,IF(K14="drewno",U14*Z!$E$50,IF(K14="pelet",U14*Z!$F$50,IF(K14="olej opałowy",U14*Z!$G$50,IF(K14="sieć ciepłownicza",0,IF(K14="prąd",0,0)))))))</f>
        <v>0</v>
      </c>
      <c r="AJ14" s="540">
        <f>IF(Q14="węgiel",T14*'Założenia,wskaźniki, listy'!$C$44,IF(Q14="gaz",T14*'Założenia,wskaźniki, listy'!$D$44,IF(Q14="drewno",T14*'Założenia,wskaźniki, listy'!$E$44,IF(Q14="pelet",T14*'Założenia,wskaźniki, listy'!$F$44,IF(Q14="olej opałowy",T14*'Założenia,wskaźniki, listy'!$G$44,IF(Q14="sieć ciepłownicza",0,IF(Q14="prąd",0,0)))))))</f>
        <v>0</v>
      </c>
      <c r="AK14" s="540">
        <f>IF(R14="węgiel",U14*'Założenia,wskaźniki, listy'!$C$45,IF(R14="gaz",U14*'Założenia,wskaźniki, listy'!$D$45,IF(R14="drewno",U14*'Założenia,wskaźniki, listy'!$E$45,IF(R14="pelet",U14*'Założenia,wskaźniki, listy'!$F$45,IF(R14="olej opałowy",U14*'Założenia,wskaźniki, listy'!$G$45,IF(R14="sieć ciepłownicza",0,IF(R14="prąd",0,0)))))))</f>
        <v>0</v>
      </c>
      <c r="AL14" s="540">
        <f>IF(R14="węgiel",U14*'Założenia,wskaźniki, listy'!$C$46,IF(R14="gaz",U14*'Założenia,wskaźniki, listy'!$D$46,IF(R14="drewno",U14*'Założenia,wskaźniki, listy'!$E$46,IF(R14="pelet",U14*'Założenia,wskaźniki, listy'!$F$46,IF(R14="olej opałowy",U14*'Założenia,wskaźniki, listy'!$G$46,IF(R14="sieć ciepłownicza",0,IF(R14="prąd",0,0)))))))</f>
        <v>0</v>
      </c>
      <c r="AM14" s="540">
        <f>IF(R14="węgiel",U14*'Założenia,wskaźniki, listy'!$C$47,IF(R14="gaz",U14*'Założenia,wskaźniki, listy'!$D$47,IF(R14="drewno",U14*'Założenia,wskaźniki, listy'!$E$47,IF(R14="pelet",U14*'Założenia,wskaźniki, listy'!$F$47,IF(R14="olej opałowy",U14*'Założenia,wskaźniki, listy'!$G$47,IF(R14="sieć ciepłownicza",0,IF(R14="prąd",0,0)))))))</f>
        <v>0</v>
      </c>
      <c r="AN14" s="540">
        <f>IF(R14="węgiel",U14*'Założenia,wskaźniki, listy'!$C$48,IF(R14="gaz",U14*'Założenia,wskaźniki, listy'!$D$48,IF(R14="drewno",U14*'Założenia,wskaźniki, listy'!$E$48,IF(R14="pelet",U14*'Założenia,wskaźniki, listy'!$F$48,IF(R14="olej opałowy",U14*'Założenia,wskaźniki, listy'!$G$48,IF(R14="sieć ciepłownicza",0,IF(R14="prąd",0,0)))))))</f>
        <v>0</v>
      </c>
      <c r="AO14" s="540">
        <f>IF(R14="węgiel",U14*'Założenia,wskaźniki, listy'!$C$49,IF(R14="gaz",U14*'Założenia,wskaźniki, listy'!$D$49,IF(R14="drewno",U14*'Założenia,wskaźniki, listy'!$E$49,IF(R14="pelet",U14*'Założenia,wskaźniki, listy'!$F$49,IF(R14="olej opałowy",U14*'Założenia,wskaźniki, listy'!$G$49,IF(R14="sieć ciepłownicza",0,IF(R14="prąd",0,0)))))))</f>
        <v>0</v>
      </c>
      <c r="AP14" s="540">
        <f>IF(R14="węgiel",U14*'Założenia,wskaźniki, listy'!$C$50,IF(R14="gaz",U14*'Założenia,wskaźniki, listy'!$D$50,IF(R14="drewno",U14*'Założenia,wskaźniki, listy'!$E$50,IF(R14="pelet",U14*'Założenia,wskaźniki, listy'!$F$50,IF(R14="olej opałowy",U14*'Założenia,wskaźniki, listy'!$G$50,IF(R14="sieć ciepłownicza",0,IF(R14="prąd",0,0)))))))</f>
        <v>0</v>
      </c>
      <c r="AQ14" s="540"/>
      <c r="AR14" s="540">
        <f t="shared" si="2"/>
        <v>0</v>
      </c>
      <c r="AS14" s="540">
        <f t="shared" si="3"/>
        <v>0</v>
      </c>
      <c r="AT14" s="540">
        <f>IF(Q14="energia el.",(IF(P14&gt;=50,AE14,X14)+AQ14*Z!$J$46),(IF(P14&gt;=50,AE14,X14)+AQ14*Z!$J$46))</f>
        <v>0</v>
      </c>
      <c r="AU14" s="540">
        <f t="shared" si="4"/>
        <v>0</v>
      </c>
      <c r="AV14" s="540">
        <f t="shared" si="5"/>
        <v>0</v>
      </c>
      <c r="AW14" s="540">
        <f t="shared" si="6"/>
        <v>0</v>
      </c>
      <c r="AX14" s="540">
        <f t="shared" si="7"/>
        <v>0</v>
      </c>
      <c r="AY14" s="88"/>
      <c r="AZ14" s="541"/>
      <c r="BA14" s="536"/>
      <c r="BB14" s="541"/>
      <c r="BC14" s="541"/>
      <c r="BD14" s="541"/>
      <c r="BE14" s="541"/>
      <c r="BF14" s="541"/>
      <c r="BG14" s="541"/>
      <c r="BH14" s="520"/>
      <c r="BI14" s="326">
        <f t="shared" si="8"/>
        <v>0</v>
      </c>
      <c r="BJ14" s="319">
        <f t="shared" si="9"/>
        <v>0</v>
      </c>
      <c r="BK14" s="319" t="b">
        <f t="shared" si="10"/>
        <v>0</v>
      </c>
      <c r="BL14" s="319" t="b">
        <f t="shared" si="11"/>
        <v>0</v>
      </c>
      <c r="BM14" s="319" t="b">
        <f t="shared" si="12"/>
        <v>0</v>
      </c>
      <c r="BN14" s="319" t="b">
        <f t="shared" si="13"/>
        <v>0</v>
      </c>
      <c r="BO14" s="319" t="b">
        <f t="shared" si="14"/>
        <v>0</v>
      </c>
      <c r="BP14" s="319" t="b">
        <f t="shared" si="15"/>
        <v>0</v>
      </c>
      <c r="BQ14" s="319" t="b">
        <f t="shared" si="16"/>
        <v>0</v>
      </c>
      <c r="BR14" s="319" t="b">
        <f t="shared" si="17"/>
        <v>0</v>
      </c>
      <c r="BS14" s="319" t="b">
        <f t="shared" si="18"/>
        <v>0</v>
      </c>
      <c r="BT14" s="319" t="b">
        <f t="shared" si="19"/>
        <v>0</v>
      </c>
      <c r="BU14" s="319" t="b">
        <f t="shared" si="20"/>
        <v>0</v>
      </c>
      <c r="BV14" s="319" t="b">
        <f t="shared" si="21"/>
        <v>0</v>
      </c>
      <c r="BW14" s="319" t="b">
        <f t="shared" si="22"/>
        <v>0</v>
      </c>
      <c r="BX14" s="319" t="b">
        <f t="shared" si="23"/>
        <v>0</v>
      </c>
      <c r="BY14" s="319" t="b">
        <f t="shared" si="24"/>
        <v>0</v>
      </c>
      <c r="BZ14" s="319" t="b">
        <f t="shared" si="25"/>
        <v>0</v>
      </c>
      <c r="CA14" s="319" t="b">
        <f t="shared" si="26"/>
        <v>0</v>
      </c>
      <c r="CB14" s="319" t="b">
        <f t="shared" si="27"/>
        <v>0</v>
      </c>
      <c r="CC14" s="319" t="b">
        <f t="shared" si="28"/>
        <v>0</v>
      </c>
      <c r="CD14" s="319" t="b">
        <f t="shared" si="29"/>
        <v>0</v>
      </c>
      <c r="CE14" s="319" t="b">
        <f t="shared" si="30"/>
        <v>0</v>
      </c>
    </row>
    <row r="15" spans="1:84">
      <c r="A15" s="581">
        <v>10</v>
      </c>
      <c r="B15" s="584"/>
      <c r="C15" s="503" t="s">
        <v>175</v>
      </c>
      <c r="E15" s="538"/>
      <c r="F15" s="538"/>
      <c r="G15" s="88"/>
      <c r="H15" s="88"/>
      <c r="I15" s="88">
        <f>IF(E15&lt;=1966,'Założenia,wskaźniki, listy'!$H$4,IF(E15&gt;1966,IF(E15&lt;=1985,'Założenia,wskaźniki, listy'!$H$5,IF(E15&gt;1985,IF(E15&lt;=1992,'Założenia,wskaźniki, listy'!$H$6,IF(E15&gt;1992,IF(E15&lt;=1996,'Założenia,wskaźniki, listy'!$H$7,IF(E15&gt;1996,IF(E15&lt;=2013,'Założenia,wskaźniki, listy'!$H$8)))))))))</f>
        <v>290</v>
      </c>
      <c r="J15" s="88"/>
      <c r="K15" s="88"/>
      <c r="L15" s="88"/>
      <c r="M15" s="541"/>
      <c r="N15" s="541"/>
      <c r="O15" s="541"/>
      <c r="P15" s="541"/>
      <c r="Q15" s="88"/>
      <c r="R15" s="457">
        <f t="shared" si="1"/>
        <v>0</v>
      </c>
      <c r="S15" s="587">
        <f>IF(J15="kompletna",I15*F15*0.0036*'Założenia,wskaźniki, listy'!$C$15,IF(J15="częściowa",I15*F15*0.0036*'Założenia,wskaźniki, listy'!$C$16,IF(J15="brak",I15*F15*0.0036*'Założenia,wskaźniki, listy'!$C$17,0)))</f>
        <v>0</v>
      </c>
      <c r="T15" s="540">
        <f>G15*'Założenia,wskaźniki, listy'!$L$16</f>
        <v>0</v>
      </c>
      <c r="U15" s="594">
        <f>IF(K15="węgiel",L15*'Założenia,wskaźniki, listy'!$B$4,IF(K15="gaz",L15*'Założenia,wskaźniki, listy'!$B$5,IF(K15="drewno",L15*'Założenia,wskaźniki, listy'!$B$6,IF(K15="pelet",L15*'Założenia,wskaźniki, listy'!$B$7,IF(K15="olej opałowy",L15*'Założenia,wskaźniki, listy'!$B$8,IF(K15="sieć ciepłownicza",0,0))))))</f>
        <v>0</v>
      </c>
      <c r="V15" s="540">
        <f>IF(K15="węgiel",U15*'Założenia,wskaźniki, listy'!$C$44,IF(K15="gaz",U15*'Założenia,wskaźniki, listy'!$D$44,IF(K15="drewno",U15*'Założenia,wskaźniki, listy'!$E$44,IF(K15="pelet",U15*'Założenia,wskaźniki, listy'!$F$44,IF(K15="olej opałowy",U15*'Założenia,wskaźniki, listy'!$G$44,IF(K15="sieć ciepłownicza",0,IF(K15="prąd",0,0)))))))</f>
        <v>0</v>
      </c>
      <c r="W15" s="540">
        <f>IF(K15="węgiel",U15*'Założenia,wskaźniki, listy'!$C$45,IF(K15="gaz",U15*'Założenia,wskaźniki, listy'!$D$45,IF(K15="drewno",U15*'Założenia,wskaźniki, listy'!$E$45,IF(K15="pelet",U15*'Założenia,wskaźniki, listy'!$F$45,IF(K15="olej opałowy",U15*'Założenia,wskaźniki, listy'!$G$45,IF(K15="sieć ciepłownicza",0,IF(K15="prąd",0,0)))))))</f>
        <v>0</v>
      </c>
      <c r="X15" s="540">
        <f>IF(K15="węgiel",U15*'Założenia,wskaźniki, listy'!$C$46,IF(K15="gaz",U15*'Założenia,wskaźniki, listy'!$D$46,IF(K15="drewno",U15*'Założenia,wskaźniki, listy'!$E$46,IF(K15="pelet",U15*'Założenia,wskaźniki, listy'!$F$46,IF(K15="olej opałowy",U15*'Założenia,wskaźniki, listy'!$G$46,IF(K15="sieć ciepłownicza",0,IF(K15="prąd",0,0)))))))</f>
        <v>0</v>
      </c>
      <c r="Y15" s="540">
        <f>IF(K15="węgiel",U15*'Założenia,wskaźniki, listy'!$C$47,IF(K15="gaz",U15*'Założenia,wskaźniki, listy'!$D$47,IF(K15="drewno",U15*'Założenia,wskaźniki, listy'!$E$47,IF(K15="pelet",U15*'Założenia,wskaźniki, listy'!$F$47,IF(K15="olej opałowy",U15*'Założenia,wskaźniki, listy'!$G$47,IF(K15="sieć ciepłownicza",0,IF(K15="prąd",0,0)))))))</f>
        <v>0</v>
      </c>
      <c r="Z15" s="540">
        <f>IF(K15="węgiel",U15*'Założenia,wskaźniki, listy'!$C$48,IF(K15="gaz",U15*'Założenia,wskaźniki, listy'!$D$48,IF(K15="drewno",U15*'Założenia,wskaźniki, listy'!$E$48,IF(K15="pelet",U15*'Założenia,wskaźniki, listy'!$F$48,IF(K15="olej opałowy",U15*'Założenia,wskaźniki, listy'!$G$48,IF(K15="sieć ciepłownicza",0,IF(K15="prąd",0,0)))))))</f>
        <v>0</v>
      </c>
      <c r="AA15" s="540">
        <f>IF(K15="węgiel",U15*'Założenia,wskaźniki, listy'!$C$49,IF(K15="gaz",U15*'Założenia,wskaźniki, listy'!$D$49,IF(K15="drewno",U15*'Założenia,wskaźniki, listy'!$E$49,IF(K15="pelet",U15*'Założenia,wskaźniki, listy'!$F$49,IF(K15="olej opałowy",U15*'Założenia,wskaźniki, listy'!$G$49,IF(K15="sieć ciepłownicza",0,IF(K15="prąd",0,0)))))))</f>
        <v>0</v>
      </c>
      <c r="AB15" s="540">
        <f>IF(K15="węgiel",U15*'Założenia,wskaźniki, listy'!$C$50,IF(K15="gaz",U15*'Założenia,wskaźniki, listy'!$D$50,IF(K15="drewno",U15*'Założenia,wskaźniki, listy'!$E$50,IF(K15="pelet",U15*'Założenia,wskaźniki, listy'!$F$50,IF(K15="olej opałowy",U15*'Założenia,wskaźniki, listy'!$G$50,IF(K15="sieć ciepłownicza",0,IF(K15="prąd",0,0)))))))</f>
        <v>0</v>
      </c>
      <c r="AC15" s="540">
        <f>IF(K15="węgiel",U15*Z!$C$44,IF(K15="gaz",U15*Z!$D$44,IF(K15="drewno",U15*Z!$E$44,IF(K15="pelet",U15*Z!$F$44,IF(K15="olej opałowy",U15*Z!$G$44,IF(K15="sieć ciepłownicza",0,IF(K15="prąd",0,0)))))))</f>
        <v>0</v>
      </c>
      <c r="AD15" s="540">
        <f>IF(K15="węgiel",U15*Z!$C$45,IF(K15="gaz",U15*Z!$D$45,IF(K15="drewno",U15*Z!$E$45,IF(K15="pelet",U15*Z!$F$45,IF(K15="olej opałowy",U15*Z!$G$45,IF(K15="sieć ciepłownicza",0,IF(K15="prąd",0,0)))))))</f>
        <v>0</v>
      </c>
      <c r="AE15" s="540">
        <f>IF(K15="węgiel",U15*Z!$C$46,IF(K15="gaz",U15*Z!$D$46,IF(K15="drewno",U15*Z!$E$46,IF(K15="pelet",U15*Z!$F$46,IF(K15="olej opałowy",U15*Z!$G$46,IF(K15="sieć ciepłownicza",0,IF(K15="prąd",0,0)))))))</f>
        <v>0</v>
      </c>
      <c r="AF15" s="540">
        <f>IF(K15="węgiel",U15*Z!$C$47,IF(K15="gaz",U15*Z!$D$47,IF(K15="drewno",U15*Z!$E$47,IF(K15="pelet",U15*Z!$F$47,IF(K15="olej opałowy",U15*Z!$G$47,IF(K15="sieć ciepłownicza",0,IF(K15="prąd",0,0)))))))</f>
        <v>0</v>
      </c>
      <c r="AG15" s="540">
        <f>IF(K15="węgiel",U15*Z!$C$48,IF(K15="gaz",U15*Z!$D$48,IF(K15="drewno",U15*Z!$E$48,IF(K15="pelet",U15*Z!$F$48,IF(K15="olej opałowy",U15*Z!$G$48,IF(K15="sieć ciepłownicza",0,IF(K15="prąd",0,0)))))))</f>
        <v>0</v>
      </c>
      <c r="AH15" s="540">
        <f>IF(K15="węgiel",U15*Z!$C$49,IF(K15="gaz",U15*Z!$D$49,IF(K15="drewno",U15*Z!$E$49,IF(K15="pelet",U15*Z!$F$49,IF(K15="olej opałowy",U15*Z!$G$49,IF(K15="sieć ciepłownicza",0,IF(K15="prąd",0,0)))))))</f>
        <v>0</v>
      </c>
      <c r="AI15" s="540">
        <f>IF(K15="węgiel",U15*Z!$C$50,IF(K15="gaz",U15*Z!$D$50,IF(K15="drewno",U15*Z!$E$50,IF(K15="pelet",U15*Z!$F$50,IF(K15="olej opałowy",U15*Z!$G$50,IF(K15="sieć ciepłownicza",0,IF(K15="prąd",0,0)))))))</f>
        <v>0</v>
      </c>
      <c r="AJ15" s="540">
        <f>IF(Q15="węgiel",T15*'Założenia,wskaźniki, listy'!$C$44,IF(Q15="gaz",T15*'Założenia,wskaźniki, listy'!$D$44,IF(Q15="drewno",T15*'Założenia,wskaźniki, listy'!$E$44,IF(Q15="pelet",T15*'Założenia,wskaźniki, listy'!$F$44,IF(Q15="olej opałowy",T15*'Założenia,wskaźniki, listy'!$G$44,IF(Q15="sieć ciepłownicza",0,IF(Q15="prąd",0,0)))))))</f>
        <v>0</v>
      </c>
      <c r="AK15" s="540">
        <f>IF(R15="węgiel",U15*'Założenia,wskaźniki, listy'!$C$45,IF(R15="gaz",U15*'Założenia,wskaźniki, listy'!$D$45,IF(R15="drewno",U15*'Założenia,wskaźniki, listy'!$E$45,IF(R15="pelet",U15*'Założenia,wskaźniki, listy'!$F$45,IF(R15="olej opałowy",U15*'Założenia,wskaźniki, listy'!$G$45,IF(R15="sieć ciepłownicza",0,IF(R15="prąd",0,0)))))))</f>
        <v>0</v>
      </c>
      <c r="AL15" s="540">
        <f>IF(R15="węgiel",U15*'Założenia,wskaźniki, listy'!$C$46,IF(R15="gaz",U15*'Założenia,wskaźniki, listy'!$D$46,IF(R15="drewno",U15*'Założenia,wskaźniki, listy'!$E$46,IF(R15="pelet",U15*'Założenia,wskaźniki, listy'!$F$46,IF(R15="olej opałowy",U15*'Założenia,wskaźniki, listy'!$G$46,IF(R15="sieć ciepłownicza",0,IF(R15="prąd",0,0)))))))</f>
        <v>0</v>
      </c>
      <c r="AM15" s="540">
        <f>IF(R15="węgiel",U15*'Założenia,wskaźniki, listy'!$C$47,IF(R15="gaz",U15*'Założenia,wskaźniki, listy'!$D$47,IF(R15="drewno",U15*'Założenia,wskaźniki, listy'!$E$47,IF(R15="pelet",U15*'Założenia,wskaźniki, listy'!$F$47,IF(R15="olej opałowy",U15*'Założenia,wskaźniki, listy'!$G$47,IF(R15="sieć ciepłownicza",0,IF(R15="prąd",0,0)))))))</f>
        <v>0</v>
      </c>
      <c r="AN15" s="540">
        <f>IF(R15="węgiel",U15*'Założenia,wskaźniki, listy'!$C$48,IF(R15="gaz",U15*'Założenia,wskaźniki, listy'!$D$48,IF(R15="drewno",U15*'Założenia,wskaźniki, listy'!$E$48,IF(R15="pelet",U15*'Założenia,wskaźniki, listy'!$F$48,IF(R15="olej opałowy",U15*'Założenia,wskaźniki, listy'!$G$48,IF(R15="sieć ciepłownicza",0,IF(R15="prąd",0,0)))))))</f>
        <v>0</v>
      </c>
      <c r="AO15" s="540">
        <f>IF(R15="węgiel",U15*'Założenia,wskaźniki, listy'!$C$49,IF(R15="gaz",U15*'Założenia,wskaźniki, listy'!$D$49,IF(R15="drewno",U15*'Założenia,wskaźniki, listy'!$E$49,IF(R15="pelet",U15*'Założenia,wskaźniki, listy'!$F$49,IF(R15="olej opałowy",U15*'Założenia,wskaźniki, listy'!$G$49,IF(R15="sieć ciepłownicza",0,IF(R15="prąd",0,0)))))))</f>
        <v>0</v>
      </c>
      <c r="AP15" s="540">
        <f>IF(R15="węgiel",U15*'Założenia,wskaźniki, listy'!$C$50,IF(R15="gaz",U15*'Założenia,wskaźniki, listy'!$D$50,IF(R15="drewno",U15*'Założenia,wskaźniki, listy'!$E$50,IF(R15="pelet",U15*'Założenia,wskaźniki, listy'!$F$50,IF(R15="olej opałowy",U15*'Założenia,wskaźniki, listy'!$G$50,IF(R15="sieć ciepłownicza",0,IF(R15="prąd",0,0)))))))</f>
        <v>0</v>
      </c>
      <c r="AQ15" s="540"/>
      <c r="AR15" s="540">
        <f t="shared" si="2"/>
        <v>0</v>
      </c>
      <c r="AS15" s="540">
        <f t="shared" si="3"/>
        <v>0</v>
      </c>
      <c r="AT15" s="540">
        <f>IF(Q15="energia el.",(IF(P15&gt;=50,AE15,X15)+AQ15*Z!$J$46),(IF(P15&gt;=50,AE15,X15)+AQ15*Z!$J$46))</f>
        <v>0</v>
      </c>
      <c r="AU15" s="540">
        <f t="shared" si="4"/>
        <v>0</v>
      </c>
      <c r="AV15" s="540">
        <f t="shared" si="5"/>
        <v>0</v>
      </c>
      <c r="AW15" s="540">
        <f t="shared" si="6"/>
        <v>0</v>
      </c>
      <c r="AX15" s="540">
        <f t="shared" si="7"/>
        <v>0</v>
      </c>
      <c r="AY15" s="88"/>
      <c r="AZ15" s="541"/>
      <c r="BA15" s="536"/>
      <c r="BB15" s="541"/>
      <c r="BC15" s="541"/>
      <c r="BD15" s="541"/>
      <c r="BE15" s="541"/>
      <c r="BF15" s="541"/>
      <c r="BG15" s="541"/>
      <c r="BH15" s="520"/>
      <c r="BI15" s="326">
        <f t="shared" si="8"/>
        <v>0</v>
      </c>
      <c r="BJ15" s="319">
        <f t="shared" si="9"/>
        <v>0</v>
      </c>
      <c r="BK15" s="319" t="b">
        <f t="shared" si="10"/>
        <v>0</v>
      </c>
      <c r="BL15" s="319" t="b">
        <f t="shared" si="11"/>
        <v>0</v>
      </c>
      <c r="BM15" s="319" t="b">
        <f t="shared" si="12"/>
        <v>0</v>
      </c>
      <c r="BN15" s="319" t="b">
        <f t="shared" si="13"/>
        <v>0</v>
      </c>
      <c r="BO15" s="319" t="b">
        <f t="shared" si="14"/>
        <v>0</v>
      </c>
      <c r="BP15" s="319" t="b">
        <f t="shared" si="15"/>
        <v>0</v>
      </c>
      <c r="BQ15" s="319" t="b">
        <f t="shared" si="16"/>
        <v>0</v>
      </c>
      <c r="BR15" s="319" t="b">
        <f t="shared" si="17"/>
        <v>0</v>
      </c>
      <c r="BS15" s="319" t="b">
        <f t="shared" si="18"/>
        <v>0</v>
      </c>
      <c r="BT15" s="319" t="b">
        <f t="shared" si="19"/>
        <v>0</v>
      </c>
      <c r="BU15" s="319" t="b">
        <f t="shared" si="20"/>
        <v>0</v>
      </c>
      <c r="BV15" s="319" t="b">
        <f t="shared" si="21"/>
        <v>0</v>
      </c>
      <c r="BW15" s="319" t="b">
        <f t="shared" si="22"/>
        <v>0</v>
      </c>
      <c r="BX15" s="319" t="b">
        <f t="shared" si="23"/>
        <v>0</v>
      </c>
      <c r="BY15" s="319" t="b">
        <f t="shared" si="24"/>
        <v>0</v>
      </c>
      <c r="BZ15" s="319" t="b">
        <f t="shared" si="25"/>
        <v>0</v>
      </c>
      <c r="CA15" s="319" t="b">
        <f t="shared" si="26"/>
        <v>0</v>
      </c>
      <c r="CB15" s="319" t="b">
        <f t="shared" si="27"/>
        <v>0</v>
      </c>
      <c r="CC15" s="319" t="b">
        <f t="shared" si="28"/>
        <v>0</v>
      </c>
      <c r="CD15" s="319" t="b">
        <f t="shared" si="29"/>
        <v>0</v>
      </c>
      <c r="CE15" s="319" t="b">
        <f t="shared" si="30"/>
        <v>0</v>
      </c>
    </row>
    <row r="16" spans="1:84" s="546" customFormat="1">
      <c r="A16" s="589">
        <v>11</v>
      </c>
      <c r="B16" s="590"/>
      <c r="C16" s="503" t="s">
        <v>175</v>
      </c>
      <c r="D16" s="538"/>
      <c r="E16" s="538"/>
      <c r="F16" s="538"/>
      <c r="G16" s="542"/>
      <c r="H16" s="542"/>
      <c r="I16" s="542">
        <f>IF(E16&lt;=1966,'Założenia,wskaźniki, listy'!$H$4,IF(E16&gt;1966,IF(E16&lt;=1985,'Założenia,wskaźniki, listy'!$H$5,IF(E16&gt;1985,IF(E16&lt;=1992,'Założenia,wskaźniki, listy'!$H$6,IF(E16&gt;1992,IF(E16&lt;=1996,'Założenia,wskaźniki, listy'!$H$7,IF(E16&gt;1996,IF(E16&lt;=2013,'Założenia,wskaźniki, listy'!$H$8)))))))))</f>
        <v>290</v>
      </c>
      <c r="J16" s="542"/>
      <c r="K16" s="542"/>
      <c r="L16" s="542"/>
      <c r="M16" s="543"/>
      <c r="N16" s="543"/>
      <c r="O16" s="543"/>
      <c r="P16" s="543"/>
      <c r="Q16" s="542"/>
      <c r="R16" s="457">
        <f t="shared" si="1"/>
        <v>0</v>
      </c>
      <c r="S16" s="587">
        <f>IF(J16="kompletna",I16*F16*0.0036*'Założenia,wskaźniki, listy'!$C$15,IF(J16="częściowa",I16*F16*0.0036*'Założenia,wskaźniki, listy'!$C$16,IF(J16="brak",I16*F16*0.0036*'Założenia,wskaźniki, listy'!$C$17,0)))</f>
        <v>0</v>
      </c>
      <c r="T16" s="544">
        <f>G16*'Założenia,wskaźniki, listy'!$L$16</f>
        <v>0</v>
      </c>
      <c r="U16" s="594">
        <f>IF(K16="węgiel",L16*'Założenia,wskaźniki, listy'!$B$4,IF(K16="gaz",L16*'Założenia,wskaźniki, listy'!$B$5,IF(K16="drewno",L16*'Założenia,wskaźniki, listy'!$B$6,IF(K16="pelet",L16*'Założenia,wskaźniki, listy'!$B$7,IF(K16="olej opałowy",L16*'Założenia,wskaźniki, listy'!$B$8,IF(K16="sieć ciepłownicza",0,0))))))</f>
        <v>0</v>
      </c>
      <c r="V16" s="544">
        <f>IF(K16="węgiel",U16*'Założenia,wskaźniki, listy'!$C$44,IF(K16="gaz",U16*'Założenia,wskaźniki, listy'!$D$44,IF(K16="drewno",U16*'Założenia,wskaźniki, listy'!$E$44,IF(K16="pelet",U16*'Założenia,wskaźniki, listy'!$F$44,IF(K16="olej opałowy",U16*'Założenia,wskaźniki, listy'!$G$44,IF(K16="sieć ciepłownicza",0,IF(K16="prąd",0,0)))))))</f>
        <v>0</v>
      </c>
      <c r="W16" s="544">
        <f>IF(K16="węgiel",U16*'Założenia,wskaźniki, listy'!$C$45,IF(K16="gaz",U16*'Założenia,wskaźniki, listy'!$D$45,IF(K16="drewno",U16*'Założenia,wskaźniki, listy'!$E$45,IF(K16="pelet",U16*'Założenia,wskaźniki, listy'!$F$45,IF(K16="olej opałowy",U16*'Założenia,wskaźniki, listy'!$G$45,IF(K16="sieć ciepłownicza",0,IF(K16="prąd",0,0)))))))</f>
        <v>0</v>
      </c>
      <c r="X16" s="544">
        <f>IF(K16="węgiel",U16*'Założenia,wskaźniki, listy'!$C$46,IF(K16="gaz",U16*'Założenia,wskaźniki, listy'!$D$46,IF(K16="drewno",U16*'Założenia,wskaźniki, listy'!$E$46,IF(K16="pelet",U16*'Założenia,wskaźniki, listy'!$F$46,IF(K16="olej opałowy",U16*'Założenia,wskaźniki, listy'!$G$46,IF(K16="sieć ciepłownicza",0,IF(K16="prąd",0,0)))))))</f>
        <v>0</v>
      </c>
      <c r="Y16" s="544">
        <f>IF(K16="węgiel",U16*'Założenia,wskaźniki, listy'!$C$47,IF(K16="gaz",U16*'Założenia,wskaźniki, listy'!$D$47,IF(K16="drewno",U16*'Założenia,wskaźniki, listy'!$E$47,IF(K16="pelet",U16*'Założenia,wskaźniki, listy'!$F$47,IF(K16="olej opałowy",U16*'Założenia,wskaźniki, listy'!$G$47,IF(K16="sieć ciepłownicza",0,IF(K16="prąd",0,0)))))))</f>
        <v>0</v>
      </c>
      <c r="Z16" s="544">
        <f>IF(K16="węgiel",U16*'Założenia,wskaźniki, listy'!$C$48,IF(K16="gaz",U16*'Założenia,wskaźniki, listy'!$D$48,IF(K16="drewno",U16*'Założenia,wskaźniki, listy'!$E$48,IF(K16="pelet",U16*'Założenia,wskaźniki, listy'!$F$48,IF(K16="olej opałowy",U16*'Założenia,wskaźniki, listy'!$G$48,IF(K16="sieć ciepłownicza",0,IF(K16="prąd",0,0)))))))</f>
        <v>0</v>
      </c>
      <c r="AA16" s="544">
        <f>IF(K16="węgiel",U16*'Założenia,wskaźniki, listy'!$C$49,IF(K16="gaz",U16*'Założenia,wskaźniki, listy'!$D$49,IF(K16="drewno",U16*'Założenia,wskaźniki, listy'!$E$49,IF(K16="pelet",U16*'Założenia,wskaźniki, listy'!$F$49,IF(K16="olej opałowy",U16*'Założenia,wskaźniki, listy'!$G$49,IF(K16="sieć ciepłownicza",0,IF(K16="prąd",0,0)))))))</f>
        <v>0</v>
      </c>
      <c r="AB16" s="544">
        <f>IF(K16="węgiel",U16*'Założenia,wskaźniki, listy'!$C$50,IF(K16="gaz",U16*'Założenia,wskaźniki, listy'!$D$50,IF(K16="drewno",U16*'Założenia,wskaźniki, listy'!$E$50,IF(K16="pelet",U16*'Założenia,wskaźniki, listy'!$F$50,IF(K16="olej opałowy",U16*'Założenia,wskaźniki, listy'!$G$50,IF(K16="sieć ciepłownicza",0,IF(K16="prąd",0,0)))))))</f>
        <v>0</v>
      </c>
      <c r="AC16" s="544">
        <f>IF(K16="węgiel",U16*Z!$C$44,IF(K16="gaz",U16*Z!$D$44,IF(K16="drewno",U16*Z!$E$44,IF(K16="pelet",U16*Z!$F$44,IF(K16="olej opałowy",U16*Z!$G$44,IF(K16="sieć ciepłownicza",0,IF(K16="prąd",0,0)))))))</f>
        <v>0</v>
      </c>
      <c r="AD16" s="544">
        <f>IF(K16="węgiel",U16*Z!$C$45,IF(K16="gaz",U16*Z!$D$45,IF(K16="drewno",U16*Z!$E$45,IF(K16="pelet",U16*Z!$F$45,IF(K16="olej opałowy",U16*Z!$G$45,IF(K16="sieć ciepłownicza",0,IF(K16="prąd",0,0)))))))</f>
        <v>0</v>
      </c>
      <c r="AE16" s="544">
        <f>IF(K16="węgiel",U16*Z!$C$46,IF(K16="gaz",U16*Z!$D$46,IF(K16="drewno",U16*Z!$E$46,IF(K16="pelet",U16*Z!$F$46,IF(K16="olej opałowy",U16*Z!$G$46,IF(K16="sieć ciepłownicza",0,IF(K16="prąd",0,0)))))))</f>
        <v>0</v>
      </c>
      <c r="AF16" s="544">
        <f>IF(K16="węgiel",U16*Z!$C$47,IF(K16="gaz",U16*Z!$D$47,IF(K16="drewno",U16*Z!$E$47,IF(K16="pelet",U16*Z!$F$47,IF(K16="olej opałowy",U16*Z!$G$47,IF(K16="sieć ciepłownicza",0,IF(K16="prąd",0,0)))))))</f>
        <v>0</v>
      </c>
      <c r="AG16" s="544">
        <f>IF(K16="węgiel",U16*Z!$C$48,IF(K16="gaz",U16*Z!$D$48,IF(K16="drewno",U16*Z!$E$48,IF(K16="pelet",U16*Z!$F$48,IF(K16="olej opałowy",U16*Z!$G$48,IF(K16="sieć ciepłownicza",0,IF(K16="prąd",0,0)))))))</f>
        <v>0</v>
      </c>
      <c r="AH16" s="544">
        <f>IF(K16="węgiel",U16*Z!$C$49,IF(K16="gaz",U16*Z!$D$49,IF(K16="drewno",U16*Z!$E$49,IF(K16="pelet",U16*Z!$F$49,IF(K16="olej opałowy",U16*Z!$G$49,IF(K16="sieć ciepłownicza",0,IF(K16="prąd",0,0)))))))</f>
        <v>0</v>
      </c>
      <c r="AI16" s="544">
        <f>IF(K16="węgiel",U16*Z!$C$50,IF(K16="gaz",U16*Z!$D$50,IF(K16="drewno",U16*Z!$E$50,IF(K16="pelet",U16*Z!$F$50,IF(K16="olej opałowy",U16*Z!$G$50,IF(K16="sieć ciepłownicza",0,IF(K16="prąd",0,0)))))))</f>
        <v>0</v>
      </c>
      <c r="AJ16" s="544">
        <f>IF(Q16="węgiel",T16*'Założenia,wskaźniki, listy'!$C$44,IF(Q16="gaz",T16*'Założenia,wskaźniki, listy'!$D$44,IF(Q16="drewno",T16*'Założenia,wskaźniki, listy'!$E$44,IF(Q16="pelet",T16*'Założenia,wskaźniki, listy'!$F$44,IF(Q16="olej opałowy",T16*'Założenia,wskaźniki, listy'!$G$44,IF(Q16="sieć ciepłownicza",0,IF(Q16="prąd",0,0)))))))</f>
        <v>0</v>
      </c>
      <c r="AK16" s="544">
        <f>IF(R16="węgiel",U16*'Założenia,wskaźniki, listy'!$C$45,IF(R16="gaz",U16*'Założenia,wskaźniki, listy'!$D$45,IF(R16="drewno",U16*'Założenia,wskaźniki, listy'!$E$45,IF(R16="pelet",U16*'Założenia,wskaźniki, listy'!$F$45,IF(R16="olej opałowy",U16*'Założenia,wskaźniki, listy'!$G$45,IF(R16="sieć ciepłownicza",0,IF(R16="prąd",0,0)))))))</f>
        <v>0</v>
      </c>
      <c r="AL16" s="544">
        <f>IF(R16="węgiel",U16*'Założenia,wskaźniki, listy'!$C$46,IF(R16="gaz",U16*'Założenia,wskaźniki, listy'!$D$46,IF(R16="drewno",U16*'Założenia,wskaźniki, listy'!$E$46,IF(R16="pelet",U16*'Założenia,wskaźniki, listy'!$F$46,IF(R16="olej opałowy",U16*'Założenia,wskaźniki, listy'!$G$46,IF(R16="sieć ciepłownicza",0,IF(R16="prąd",0,0)))))))</f>
        <v>0</v>
      </c>
      <c r="AM16" s="544">
        <f>IF(R16="węgiel",U16*'Założenia,wskaźniki, listy'!$C$47,IF(R16="gaz",U16*'Założenia,wskaźniki, listy'!$D$47,IF(R16="drewno",U16*'Założenia,wskaźniki, listy'!$E$47,IF(R16="pelet",U16*'Założenia,wskaźniki, listy'!$F$47,IF(R16="olej opałowy",U16*'Założenia,wskaźniki, listy'!$G$47,IF(R16="sieć ciepłownicza",0,IF(R16="prąd",0,0)))))))</f>
        <v>0</v>
      </c>
      <c r="AN16" s="544">
        <f>IF(R16="węgiel",U16*'Założenia,wskaźniki, listy'!$C$48,IF(R16="gaz",U16*'Założenia,wskaźniki, listy'!$D$48,IF(R16="drewno",U16*'Założenia,wskaźniki, listy'!$E$48,IF(R16="pelet",U16*'Założenia,wskaźniki, listy'!$F$48,IF(R16="olej opałowy",U16*'Założenia,wskaźniki, listy'!$G$48,IF(R16="sieć ciepłownicza",0,IF(R16="prąd",0,0)))))))</f>
        <v>0</v>
      </c>
      <c r="AO16" s="544">
        <f>IF(R16="węgiel",U16*'Założenia,wskaźniki, listy'!$C$49,IF(R16="gaz",U16*'Założenia,wskaźniki, listy'!$D$49,IF(R16="drewno",U16*'Założenia,wskaźniki, listy'!$E$49,IF(R16="pelet",U16*'Założenia,wskaźniki, listy'!$F$49,IF(R16="olej opałowy",U16*'Założenia,wskaźniki, listy'!$G$49,IF(R16="sieć ciepłownicza",0,IF(R16="prąd",0,0)))))))</f>
        <v>0</v>
      </c>
      <c r="AP16" s="544">
        <f>IF(R16="węgiel",U16*'Założenia,wskaźniki, listy'!$C$50,IF(R16="gaz",U16*'Założenia,wskaźniki, listy'!$D$50,IF(R16="drewno",U16*'Założenia,wskaźniki, listy'!$E$50,IF(R16="pelet",U16*'Założenia,wskaźniki, listy'!$F$50,IF(R16="olej opałowy",U16*'Założenia,wskaźniki, listy'!$G$50,IF(R16="sieć ciepłownicza",0,IF(R16="prąd",0,0)))))))</f>
        <v>0</v>
      </c>
      <c r="AQ16" s="544"/>
      <c r="AR16" s="544">
        <f t="shared" si="2"/>
        <v>0</v>
      </c>
      <c r="AS16" s="544">
        <f t="shared" si="3"/>
        <v>0</v>
      </c>
      <c r="AT16" s="544">
        <f>IF(Q16="energia el.",(IF(P16&gt;=50,AE16,X16)+AQ16*Z!$J$46),(IF(P16&gt;=50,AE16,X16)+AQ16*Z!$J$46))</f>
        <v>0</v>
      </c>
      <c r="AU16" s="544">
        <f t="shared" si="4"/>
        <v>0</v>
      </c>
      <c r="AV16" s="544">
        <f t="shared" si="5"/>
        <v>0</v>
      </c>
      <c r="AW16" s="544">
        <f t="shared" si="6"/>
        <v>0</v>
      </c>
      <c r="AX16" s="544">
        <f t="shared" si="7"/>
        <v>0</v>
      </c>
      <c r="AY16" s="542"/>
      <c r="AZ16" s="543"/>
      <c r="BA16" s="545"/>
      <c r="BB16" s="543"/>
      <c r="BC16" s="543"/>
      <c r="BD16" s="543"/>
      <c r="BE16" s="543"/>
      <c r="BF16" s="543"/>
      <c r="BG16" s="543"/>
      <c r="BH16" s="798"/>
      <c r="BI16" s="326">
        <f t="shared" si="8"/>
        <v>0</v>
      </c>
      <c r="BJ16" s="547">
        <f t="shared" si="9"/>
        <v>0</v>
      </c>
      <c r="BK16" s="547" t="b">
        <f t="shared" si="10"/>
        <v>0</v>
      </c>
      <c r="BL16" s="547" t="b">
        <f t="shared" si="11"/>
        <v>0</v>
      </c>
      <c r="BM16" s="547" t="b">
        <f t="shared" si="12"/>
        <v>0</v>
      </c>
      <c r="BN16" s="547" t="b">
        <f t="shared" si="13"/>
        <v>0</v>
      </c>
      <c r="BO16" s="547" t="b">
        <f t="shared" si="14"/>
        <v>0</v>
      </c>
      <c r="BP16" s="547" t="b">
        <f t="shared" si="15"/>
        <v>0</v>
      </c>
      <c r="BQ16" s="547" t="b">
        <f t="shared" si="16"/>
        <v>0</v>
      </c>
      <c r="BR16" s="547" t="b">
        <f t="shared" si="17"/>
        <v>0</v>
      </c>
      <c r="BS16" s="547" t="b">
        <f t="shared" si="18"/>
        <v>0</v>
      </c>
      <c r="BT16" s="547" t="b">
        <f t="shared" si="19"/>
        <v>0</v>
      </c>
      <c r="BU16" s="547" t="b">
        <f t="shared" si="20"/>
        <v>0</v>
      </c>
      <c r="BV16" s="547" t="b">
        <f t="shared" si="21"/>
        <v>0</v>
      </c>
      <c r="BW16" s="547" t="b">
        <f t="shared" si="22"/>
        <v>0</v>
      </c>
      <c r="BX16" s="547" t="b">
        <f t="shared" si="23"/>
        <v>0</v>
      </c>
      <c r="BY16" s="547" t="b">
        <f t="shared" si="24"/>
        <v>0</v>
      </c>
      <c r="BZ16" s="547" t="b">
        <f t="shared" si="25"/>
        <v>0</v>
      </c>
      <c r="CA16" s="547" t="b">
        <f t="shared" si="26"/>
        <v>0</v>
      </c>
      <c r="CB16" s="547" t="b">
        <f t="shared" si="27"/>
        <v>0</v>
      </c>
      <c r="CC16" s="547" t="b">
        <f t="shared" si="28"/>
        <v>0</v>
      </c>
      <c r="CD16" s="547" t="b">
        <f t="shared" si="29"/>
        <v>0</v>
      </c>
      <c r="CE16" s="547" t="b">
        <f t="shared" si="30"/>
        <v>0</v>
      </c>
      <c r="CF16" s="799"/>
    </row>
    <row r="17" spans="1:84" s="546" customFormat="1">
      <c r="A17" s="589">
        <v>12</v>
      </c>
      <c r="B17" s="590"/>
      <c r="C17" s="503" t="s">
        <v>175</v>
      </c>
      <c r="D17" s="538"/>
      <c r="E17" s="538"/>
      <c r="F17" s="538"/>
      <c r="G17" s="542"/>
      <c r="H17" s="542"/>
      <c r="I17" s="542">
        <f>IF(E17&lt;=1966,'Założenia,wskaźniki, listy'!$H$4,IF(E17&gt;1966,IF(E17&lt;=1985,'Założenia,wskaźniki, listy'!$H$5,IF(E17&gt;1985,IF(E17&lt;=1992,'Założenia,wskaźniki, listy'!$H$6,IF(E17&gt;1992,IF(E17&lt;=1996,'Założenia,wskaźniki, listy'!$H$7,IF(E17&gt;1996,IF(E17&lt;=2013,'Założenia,wskaźniki, listy'!$H$8)))))))))</f>
        <v>290</v>
      </c>
      <c r="J17" s="542"/>
      <c r="K17" s="542"/>
      <c r="L17" s="542"/>
      <c r="M17" s="543"/>
      <c r="N17" s="543"/>
      <c r="O17" s="543"/>
      <c r="P17" s="543"/>
      <c r="Q17" s="542"/>
      <c r="R17" s="457">
        <f t="shared" si="1"/>
        <v>0</v>
      </c>
      <c r="S17" s="587">
        <f>IF(J17="kompletna",I17*F17*0.0036*'Założenia,wskaźniki, listy'!$C$15,IF(J17="częściowa",I17*F17*0.0036*'Założenia,wskaźniki, listy'!$C$16,IF(J17="brak",I17*F17*0.0036*'Założenia,wskaźniki, listy'!$C$17,0)))</f>
        <v>0</v>
      </c>
      <c r="T17" s="544">
        <f>G17*'Założenia,wskaźniki, listy'!$L$16</f>
        <v>0</v>
      </c>
      <c r="U17" s="594">
        <f>IF(K17="węgiel",L17*'Założenia,wskaźniki, listy'!$B$4,IF(K17="gaz",L17*'Założenia,wskaźniki, listy'!$B$5,IF(K17="drewno",L17*'Założenia,wskaźniki, listy'!$B$6,IF(K17="pelet",L17*'Założenia,wskaźniki, listy'!$B$7,IF(K17="olej opałowy",L17*'Założenia,wskaźniki, listy'!$B$8,IF(K17="sieć ciepłownicza",0,0))))))</f>
        <v>0</v>
      </c>
      <c r="V17" s="544">
        <f>IF(K17="węgiel",U17*'Założenia,wskaźniki, listy'!$C$44,IF(K17="gaz",U17*'Założenia,wskaźniki, listy'!$D$44,IF(K17="drewno",U17*'Założenia,wskaźniki, listy'!$E$44,IF(K17="pelet",U17*'Założenia,wskaźniki, listy'!$F$44,IF(K17="olej opałowy",U17*'Założenia,wskaźniki, listy'!$G$44,IF(K17="sieć ciepłownicza",0,IF(K17="prąd",0,0)))))))</f>
        <v>0</v>
      </c>
      <c r="W17" s="544">
        <f>IF(K17="węgiel",U17*'Założenia,wskaźniki, listy'!$C$45,IF(K17="gaz",U17*'Założenia,wskaźniki, listy'!$D$45,IF(K17="drewno",U17*'Założenia,wskaźniki, listy'!$E$45,IF(K17="pelet",U17*'Założenia,wskaźniki, listy'!$F$45,IF(K17="olej opałowy",U17*'Założenia,wskaźniki, listy'!$G$45,IF(K17="sieć ciepłownicza",0,IF(K17="prąd",0,0)))))))</f>
        <v>0</v>
      </c>
      <c r="X17" s="544">
        <f>IF(K17="węgiel",U17*'Założenia,wskaźniki, listy'!$C$46,IF(K17="gaz",U17*'Założenia,wskaźniki, listy'!$D$46,IF(K17="drewno",U17*'Założenia,wskaźniki, listy'!$E$46,IF(K17="pelet",U17*'Założenia,wskaźniki, listy'!$F$46,IF(K17="olej opałowy",U17*'Założenia,wskaźniki, listy'!$G$46,IF(K17="sieć ciepłownicza",0,IF(K17="prąd",0,0)))))))</f>
        <v>0</v>
      </c>
      <c r="Y17" s="544">
        <f>IF(K17="węgiel",U17*'Założenia,wskaźniki, listy'!$C$47,IF(K17="gaz",U17*'Założenia,wskaźniki, listy'!$D$47,IF(K17="drewno",U17*'Założenia,wskaźniki, listy'!$E$47,IF(K17="pelet",U17*'Założenia,wskaźniki, listy'!$F$47,IF(K17="olej opałowy",U17*'Założenia,wskaźniki, listy'!$G$47,IF(K17="sieć ciepłownicza",0,IF(K17="prąd",0,0)))))))</f>
        <v>0</v>
      </c>
      <c r="Z17" s="544">
        <f>IF(K17="węgiel",U17*'Założenia,wskaźniki, listy'!$C$48,IF(K17="gaz",U17*'Założenia,wskaźniki, listy'!$D$48,IF(K17="drewno",U17*'Założenia,wskaźniki, listy'!$E$48,IF(K17="pelet",U17*'Założenia,wskaźniki, listy'!$F$48,IF(K17="olej opałowy",U17*'Założenia,wskaźniki, listy'!$G$48,IF(K17="sieć ciepłownicza",0,IF(K17="prąd",0,0)))))))</f>
        <v>0</v>
      </c>
      <c r="AA17" s="544">
        <f>IF(K17="węgiel",U17*'Założenia,wskaźniki, listy'!$C$49,IF(K17="gaz",U17*'Założenia,wskaźniki, listy'!$D$49,IF(K17="drewno",U17*'Założenia,wskaźniki, listy'!$E$49,IF(K17="pelet",U17*'Założenia,wskaźniki, listy'!$F$49,IF(K17="olej opałowy",U17*'Założenia,wskaźniki, listy'!$G$49,IF(K17="sieć ciepłownicza",0,IF(K17="prąd",0,0)))))))</f>
        <v>0</v>
      </c>
      <c r="AB17" s="544">
        <f>IF(K17="węgiel",U17*'Założenia,wskaźniki, listy'!$C$50,IF(K17="gaz",U17*'Założenia,wskaźniki, listy'!$D$50,IF(K17="drewno",U17*'Założenia,wskaźniki, listy'!$E$50,IF(K17="pelet",U17*'Założenia,wskaźniki, listy'!$F$50,IF(K17="olej opałowy",U17*'Założenia,wskaźniki, listy'!$G$50,IF(K17="sieć ciepłownicza",0,IF(K17="prąd",0,0)))))))</f>
        <v>0</v>
      </c>
      <c r="AC17" s="544">
        <f>IF(K17="węgiel",U17*Z!$C$44,IF(K17="gaz",U17*Z!$D$44,IF(K17="drewno",U17*Z!$E$44,IF(K17="pelet",U17*Z!$F$44,IF(K17="olej opałowy",U17*Z!$G$44,IF(K17="sieć ciepłownicza",0,IF(K17="prąd",0,0)))))))</f>
        <v>0</v>
      </c>
      <c r="AD17" s="544">
        <f>IF(K17="węgiel",U17*Z!$C$45,IF(K17="gaz",U17*Z!$D$45,IF(K17="drewno",U17*Z!$E$45,IF(K17="pelet",U17*Z!$F$45,IF(K17="olej opałowy",U17*Z!$G$45,IF(K17="sieć ciepłownicza",0,IF(K17="prąd",0,0)))))))</f>
        <v>0</v>
      </c>
      <c r="AE17" s="544">
        <f>IF(K17="węgiel",U17*Z!$C$46,IF(K17="gaz",U17*Z!$D$46,IF(K17="drewno",U17*Z!$E$46,IF(K17="pelet",U17*Z!$F$46,IF(K17="olej opałowy",U17*Z!$G$46,IF(K17="sieć ciepłownicza",0,IF(K17="prąd",0,0)))))))</f>
        <v>0</v>
      </c>
      <c r="AF17" s="544">
        <f>IF(K17="węgiel",U17*Z!$C$47,IF(K17="gaz",U17*Z!$D$47,IF(K17="drewno",U17*Z!$E$47,IF(K17="pelet",U17*Z!$F$47,IF(K17="olej opałowy",U17*Z!$G$47,IF(K17="sieć ciepłownicza",0,IF(K17="prąd",0,0)))))))</f>
        <v>0</v>
      </c>
      <c r="AG17" s="544">
        <f>IF(K17="węgiel",U17*Z!$C$48,IF(K17="gaz",U17*Z!$D$48,IF(K17="drewno",U17*Z!$E$48,IF(K17="pelet",U17*Z!$F$48,IF(K17="olej opałowy",U17*Z!$G$48,IF(K17="sieć ciepłownicza",0,IF(K17="prąd",0,0)))))))</f>
        <v>0</v>
      </c>
      <c r="AH17" s="544">
        <f>IF(K17="węgiel",U17*Z!$C$49,IF(K17="gaz",U17*Z!$D$49,IF(K17="drewno",U17*Z!$E$49,IF(K17="pelet",U17*Z!$F$49,IF(K17="olej opałowy",U17*Z!$G$49,IF(K17="sieć ciepłownicza",0,IF(K17="prąd",0,0)))))))</f>
        <v>0</v>
      </c>
      <c r="AI17" s="544">
        <f>IF(K17="węgiel",U17*Z!$C$50,IF(K17="gaz",U17*Z!$D$50,IF(K17="drewno",U17*Z!$E$50,IF(K17="pelet",U17*Z!$F$50,IF(K17="olej opałowy",U17*Z!$G$50,IF(K17="sieć ciepłownicza",0,IF(K17="prąd",0,0)))))))</f>
        <v>0</v>
      </c>
      <c r="AJ17" s="544">
        <f>IF(Q17="węgiel",T17*'Założenia,wskaźniki, listy'!$C$44,IF(Q17="gaz",T17*'Założenia,wskaźniki, listy'!$D$44,IF(Q17="drewno",T17*'Założenia,wskaźniki, listy'!$E$44,IF(Q17="pelet",T17*'Założenia,wskaźniki, listy'!$F$44,IF(Q17="olej opałowy",T17*'Założenia,wskaźniki, listy'!$G$44,IF(Q17="sieć ciepłownicza",0,IF(Q17="prąd",0,0)))))))</f>
        <v>0</v>
      </c>
      <c r="AK17" s="544">
        <f>IF(R17="węgiel",U17*'Założenia,wskaźniki, listy'!$C$45,IF(R17="gaz",U17*'Założenia,wskaźniki, listy'!$D$45,IF(R17="drewno",U17*'Założenia,wskaźniki, listy'!$E$45,IF(R17="pelet",U17*'Założenia,wskaźniki, listy'!$F$45,IF(R17="olej opałowy",U17*'Założenia,wskaźniki, listy'!$G$45,IF(R17="sieć ciepłownicza",0,IF(R17="prąd",0,0)))))))</f>
        <v>0</v>
      </c>
      <c r="AL17" s="544">
        <f>IF(R17="węgiel",U17*'Założenia,wskaźniki, listy'!$C$46,IF(R17="gaz",U17*'Założenia,wskaźniki, listy'!$D$46,IF(R17="drewno",U17*'Założenia,wskaźniki, listy'!$E$46,IF(R17="pelet",U17*'Założenia,wskaźniki, listy'!$F$46,IF(R17="olej opałowy",U17*'Założenia,wskaźniki, listy'!$G$46,IF(R17="sieć ciepłownicza",0,IF(R17="prąd",0,0)))))))</f>
        <v>0</v>
      </c>
      <c r="AM17" s="544">
        <f>IF(R17="węgiel",U17*'Założenia,wskaźniki, listy'!$C$47,IF(R17="gaz",U17*'Założenia,wskaźniki, listy'!$D$47,IF(R17="drewno",U17*'Założenia,wskaźniki, listy'!$E$47,IF(R17="pelet",U17*'Założenia,wskaźniki, listy'!$F$47,IF(R17="olej opałowy",U17*'Założenia,wskaźniki, listy'!$G$47,IF(R17="sieć ciepłownicza",0,IF(R17="prąd",0,0)))))))</f>
        <v>0</v>
      </c>
      <c r="AN17" s="544">
        <f>IF(R17="węgiel",U17*'Założenia,wskaźniki, listy'!$C$48,IF(R17="gaz",U17*'Założenia,wskaźniki, listy'!$D$48,IF(R17="drewno",U17*'Założenia,wskaźniki, listy'!$E$48,IF(R17="pelet",U17*'Założenia,wskaźniki, listy'!$F$48,IF(R17="olej opałowy",U17*'Założenia,wskaźniki, listy'!$G$48,IF(R17="sieć ciepłownicza",0,IF(R17="prąd",0,0)))))))</f>
        <v>0</v>
      </c>
      <c r="AO17" s="544">
        <f>IF(R17="węgiel",U17*'Założenia,wskaźniki, listy'!$C$49,IF(R17="gaz",U17*'Założenia,wskaźniki, listy'!$D$49,IF(R17="drewno",U17*'Założenia,wskaźniki, listy'!$E$49,IF(R17="pelet",U17*'Założenia,wskaźniki, listy'!$F$49,IF(R17="olej opałowy",U17*'Założenia,wskaźniki, listy'!$G$49,IF(R17="sieć ciepłownicza",0,IF(R17="prąd",0,0)))))))</f>
        <v>0</v>
      </c>
      <c r="AP17" s="544">
        <f>IF(R17="węgiel",U17*'Założenia,wskaźniki, listy'!$C$50,IF(R17="gaz",U17*'Założenia,wskaźniki, listy'!$D$50,IF(R17="drewno",U17*'Założenia,wskaźniki, listy'!$E$50,IF(R17="pelet",U17*'Założenia,wskaźniki, listy'!$F$50,IF(R17="olej opałowy",U17*'Założenia,wskaźniki, listy'!$G$50,IF(R17="sieć ciepłownicza",0,IF(R17="prąd",0,0)))))))</f>
        <v>0</v>
      </c>
      <c r="AQ17" s="544"/>
      <c r="AR17" s="544">
        <f t="shared" si="2"/>
        <v>0</v>
      </c>
      <c r="AS17" s="544">
        <f t="shared" si="3"/>
        <v>0</v>
      </c>
      <c r="AT17" s="544">
        <f>IF(Q17="energia el.",(IF(P17&gt;=50,AE17,X17)+AQ17*Z!$J$46),(IF(P17&gt;=50,AE17,X17)+AQ17*Z!$J$46))</f>
        <v>0</v>
      </c>
      <c r="AU17" s="544">
        <f t="shared" si="4"/>
        <v>0</v>
      </c>
      <c r="AV17" s="544">
        <f t="shared" si="5"/>
        <v>0</v>
      </c>
      <c r="AW17" s="544">
        <f t="shared" si="6"/>
        <v>0</v>
      </c>
      <c r="AX17" s="544">
        <f t="shared" si="7"/>
        <v>0</v>
      </c>
      <c r="AY17" s="542"/>
      <c r="AZ17" s="543"/>
      <c r="BA17" s="545"/>
      <c r="BB17" s="543"/>
      <c r="BC17" s="543"/>
      <c r="BD17" s="543"/>
      <c r="BE17" s="543"/>
      <c r="BF17" s="543"/>
      <c r="BG17" s="543"/>
      <c r="BH17" s="798"/>
      <c r="BI17" s="326">
        <f t="shared" si="8"/>
        <v>0</v>
      </c>
      <c r="BJ17" s="547">
        <f t="shared" si="9"/>
        <v>0</v>
      </c>
      <c r="BK17" s="547" t="b">
        <f t="shared" si="10"/>
        <v>0</v>
      </c>
      <c r="BL17" s="547" t="b">
        <f t="shared" si="11"/>
        <v>0</v>
      </c>
      <c r="BM17" s="547" t="b">
        <f t="shared" si="12"/>
        <v>0</v>
      </c>
      <c r="BN17" s="547" t="b">
        <f t="shared" si="13"/>
        <v>0</v>
      </c>
      <c r="BO17" s="547" t="b">
        <f t="shared" si="14"/>
        <v>0</v>
      </c>
      <c r="BP17" s="547" t="b">
        <f t="shared" si="15"/>
        <v>0</v>
      </c>
      <c r="BQ17" s="547" t="b">
        <f t="shared" si="16"/>
        <v>0</v>
      </c>
      <c r="BR17" s="547" t="b">
        <f t="shared" si="17"/>
        <v>0</v>
      </c>
      <c r="BS17" s="547" t="b">
        <f t="shared" si="18"/>
        <v>0</v>
      </c>
      <c r="BT17" s="547" t="b">
        <f t="shared" si="19"/>
        <v>0</v>
      </c>
      <c r="BU17" s="547" t="b">
        <f t="shared" si="20"/>
        <v>0</v>
      </c>
      <c r="BV17" s="547" t="b">
        <f t="shared" si="21"/>
        <v>0</v>
      </c>
      <c r="BW17" s="547" t="b">
        <f t="shared" si="22"/>
        <v>0</v>
      </c>
      <c r="BX17" s="547" t="b">
        <f t="shared" si="23"/>
        <v>0</v>
      </c>
      <c r="BY17" s="547" t="b">
        <f t="shared" si="24"/>
        <v>0</v>
      </c>
      <c r="BZ17" s="547" t="b">
        <f t="shared" si="25"/>
        <v>0</v>
      </c>
      <c r="CA17" s="547" t="b">
        <f t="shared" si="26"/>
        <v>0</v>
      </c>
      <c r="CB17" s="547" t="b">
        <f t="shared" si="27"/>
        <v>0</v>
      </c>
      <c r="CC17" s="547" t="b">
        <f t="shared" si="28"/>
        <v>0</v>
      </c>
      <c r="CD17" s="547" t="b">
        <f t="shared" si="29"/>
        <v>0</v>
      </c>
      <c r="CE17" s="547" t="b">
        <f t="shared" si="30"/>
        <v>0</v>
      </c>
      <c r="CF17" s="799"/>
    </row>
    <row r="18" spans="1:84">
      <c r="A18" s="589">
        <v>13</v>
      </c>
      <c r="B18" s="590"/>
      <c r="C18" s="503" t="s">
        <v>175</v>
      </c>
      <c r="E18" s="538"/>
      <c r="F18" s="538"/>
      <c r="G18" s="88"/>
      <c r="H18" s="88"/>
      <c r="I18" s="88">
        <f>IF(E18&lt;=1966,'Założenia,wskaźniki, listy'!$H$4,IF(E18&gt;1966,IF(E18&lt;=1985,'Założenia,wskaźniki, listy'!$H$5,IF(E18&gt;1985,IF(E18&lt;=1992,'Założenia,wskaźniki, listy'!$H$6,IF(E18&gt;1992,IF(E18&lt;=1996,'Założenia,wskaźniki, listy'!$H$7,IF(E18&gt;1996,IF(E18&lt;=2013,'Założenia,wskaźniki, listy'!$H$8)))))))))</f>
        <v>290</v>
      </c>
      <c r="J18" s="88"/>
      <c r="K18" s="88"/>
      <c r="L18" s="88"/>
      <c r="M18" s="541"/>
      <c r="N18" s="541"/>
      <c r="O18" s="541"/>
      <c r="P18" s="541"/>
      <c r="Q18" s="88"/>
      <c r="R18" s="457">
        <f t="shared" si="1"/>
        <v>0</v>
      </c>
      <c r="S18" s="587">
        <f>IF(J18="kompletna",I18*F18*0.0036*'Założenia,wskaźniki, listy'!$C$15,IF(J18="częściowa",I18*F18*0.0036*'Założenia,wskaźniki, listy'!$C$16,IF(J18="brak",I18*F18*0.0036*'Założenia,wskaźniki, listy'!$C$17,0)))</f>
        <v>0</v>
      </c>
      <c r="T18" s="540">
        <f>G18*'Założenia,wskaźniki, listy'!$L$16</f>
        <v>0</v>
      </c>
      <c r="U18" s="594">
        <f>IF(K18="węgiel",L18*'Założenia,wskaźniki, listy'!$B$4,IF(K18="gaz",L18*'Założenia,wskaźniki, listy'!$B$5,IF(K18="drewno",L18*'Założenia,wskaźniki, listy'!$B$6,IF(K18="pelet",L18*'Założenia,wskaźniki, listy'!$B$7,IF(K18="olej opałowy",L18*'Założenia,wskaźniki, listy'!$B$8,IF(K18="sieć ciepłownicza",0,0))))))</f>
        <v>0</v>
      </c>
      <c r="V18" s="540">
        <f>IF(K18="węgiel",U18*'Założenia,wskaźniki, listy'!$C$44,IF(K18="gaz",U18*'Założenia,wskaźniki, listy'!$D$44,IF(K18="drewno",U18*'Założenia,wskaźniki, listy'!$E$44,IF(K18="pelet",U18*'Założenia,wskaźniki, listy'!$F$44,IF(K18="olej opałowy",U18*'Założenia,wskaźniki, listy'!$G$44,IF(K18="sieć ciepłownicza",0,IF(K18="prąd",0,0)))))))</f>
        <v>0</v>
      </c>
      <c r="W18" s="540">
        <f>IF(K18="węgiel",U18*'Założenia,wskaźniki, listy'!$C$45,IF(K18="gaz",U18*'Założenia,wskaźniki, listy'!$D$45,IF(K18="drewno",U18*'Założenia,wskaźniki, listy'!$E$45,IF(K18="pelet",U18*'Założenia,wskaźniki, listy'!$F$45,IF(K18="olej opałowy",U18*'Założenia,wskaźniki, listy'!$G$45,IF(K18="sieć ciepłownicza",0,IF(K18="prąd",0,0)))))))</f>
        <v>0</v>
      </c>
      <c r="X18" s="540">
        <f>IF(K18="węgiel",U18*'Założenia,wskaźniki, listy'!$C$46,IF(K18="gaz",U18*'Założenia,wskaźniki, listy'!$D$46,IF(K18="drewno",U18*'Założenia,wskaźniki, listy'!$E$46,IF(K18="pelet",U18*'Założenia,wskaźniki, listy'!$F$46,IF(K18="olej opałowy",U18*'Założenia,wskaźniki, listy'!$G$46,IF(K18="sieć ciepłownicza",0,IF(K18="prąd",0,0)))))))</f>
        <v>0</v>
      </c>
      <c r="Y18" s="540">
        <f>IF(K18="węgiel",U18*'Założenia,wskaźniki, listy'!$C$47,IF(K18="gaz",U18*'Założenia,wskaźniki, listy'!$D$47,IF(K18="drewno",U18*'Założenia,wskaźniki, listy'!$E$47,IF(K18="pelet",U18*'Założenia,wskaźniki, listy'!$F$47,IF(K18="olej opałowy",U18*'Założenia,wskaźniki, listy'!$G$47,IF(K18="sieć ciepłownicza",0,IF(K18="prąd",0,0)))))))</f>
        <v>0</v>
      </c>
      <c r="Z18" s="540">
        <f>IF(K18="węgiel",U18*'Założenia,wskaźniki, listy'!$C$48,IF(K18="gaz",U18*'Założenia,wskaźniki, listy'!$D$48,IF(K18="drewno",U18*'Założenia,wskaźniki, listy'!$E$48,IF(K18="pelet",U18*'Założenia,wskaźniki, listy'!$F$48,IF(K18="olej opałowy",U18*'Założenia,wskaźniki, listy'!$G$48,IF(K18="sieć ciepłownicza",0,IF(K18="prąd",0,0)))))))</f>
        <v>0</v>
      </c>
      <c r="AA18" s="540">
        <f>IF(K18="węgiel",U18*'Założenia,wskaźniki, listy'!$C$49,IF(K18="gaz",U18*'Założenia,wskaźniki, listy'!$D$49,IF(K18="drewno",U18*'Założenia,wskaźniki, listy'!$E$49,IF(K18="pelet",U18*'Założenia,wskaźniki, listy'!$F$49,IF(K18="olej opałowy",U18*'Założenia,wskaźniki, listy'!$G$49,IF(K18="sieć ciepłownicza",0,IF(K18="prąd",0,0)))))))</f>
        <v>0</v>
      </c>
      <c r="AB18" s="540">
        <f>IF(K18="węgiel",U18*'Założenia,wskaźniki, listy'!$C$50,IF(K18="gaz",U18*'Założenia,wskaźniki, listy'!$D$50,IF(K18="drewno",U18*'Założenia,wskaźniki, listy'!$E$50,IF(K18="pelet",U18*'Założenia,wskaźniki, listy'!$F$50,IF(K18="olej opałowy",U18*'Założenia,wskaźniki, listy'!$G$50,IF(K18="sieć ciepłownicza",0,IF(K18="prąd",0,0)))))))</f>
        <v>0</v>
      </c>
      <c r="AC18" s="540">
        <f>IF(K18="węgiel",U18*Z!$C$44,IF(K18="gaz",U18*Z!$D$44,IF(K18="drewno",U18*Z!$E$44,IF(K18="pelet",U18*Z!$F$44,IF(K18="olej opałowy",U18*Z!$G$44,IF(K18="sieć ciepłownicza",0,IF(K18="prąd",0,0)))))))</f>
        <v>0</v>
      </c>
      <c r="AD18" s="540">
        <f>IF(K18="węgiel",U18*Z!$C$45,IF(K18="gaz",U18*Z!$D$45,IF(K18="drewno",U18*Z!$E$45,IF(K18="pelet",U18*Z!$F$45,IF(K18="olej opałowy",U18*Z!$G$45,IF(K18="sieć ciepłownicza",0,IF(K18="prąd",0,0)))))))</f>
        <v>0</v>
      </c>
      <c r="AE18" s="540">
        <f>IF(K18="węgiel",U18*Z!$C$46,IF(K18="gaz",U18*Z!$D$46,IF(K18="drewno",U18*Z!$E$46,IF(K18="pelet",U18*Z!$F$46,IF(K18="olej opałowy",U18*Z!$G$46,IF(K18="sieć ciepłownicza",0,IF(K18="prąd",0,0)))))))</f>
        <v>0</v>
      </c>
      <c r="AF18" s="540">
        <f>IF(K18="węgiel",U18*Z!$C$47,IF(K18="gaz",U18*Z!$D$47,IF(K18="drewno",U18*Z!$E$47,IF(K18="pelet",U18*Z!$F$47,IF(K18="olej opałowy",U18*Z!$G$47,IF(K18="sieć ciepłownicza",0,IF(K18="prąd",0,0)))))))</f>
        <v>0</v>
      </c>
      <c r="AG18" s="540">
        <f>IF(K18="węgiel",U18*Z!$C$48,IF(K18="gaz",U18*Z!$D$48,IF(K18="drewno",U18*Z!$E$48,IF(K18="pelet",U18*Z!$F$48,IF(K18="olej opałowy",U18*Z!$G$48,IF(K18="sieć ciepłownicza",0,IF(K18="prąd",0,0)))))))</f>
        <v>0</v>
      </c>
      <c r="AH18" s="540">
        <f>IF(K18="węgiel",U18*Z!$C$49,IF(K18="gaz",U18*Z!$D$49,IF(K18="drewno",U18*Z!$E$49,IF(K18="pelet",U18*Z!$F$49,IF(K18="olej opałowy",U18*Z!$G$49,IF(K18="sieć ciepłownicza",0,IF(K18="prąd",0,0)))))))</f>
        <v>0</v>
      </c>
      <c r="AI18" s="540">
        <f>IF(K18="węgiel",U18*Z!$C$50,IF(K18="gaz",U18*Z!$D$50,IF(K18="drewno",U18*Z!$E$50,IF(K18="pelet",U18*Z!$F$50,IF(K18="olej opałowy",U18*Z!$G$50,IF(K18="sieć ciepłownicza",0,IF(K18="prąd",0,0)))))))</f>
        <v>0</v>
      </c>
      <c r="AJ18" s="540">
        <f>IF(Q18="węgiel",T18*'Założenia,wskaźniki, listy'!$C$44,IF(Q18="gaz",T18*'Założenia,wskaźniki, listy'!$D$44,IF(Q18="drewno",T18*'Założenia,wskaźniki, listy'!$E$44,IF(Q18="pelet",T18*'Założenia,wskaźniki, listy'!$F$44,IF(Q18="olej opałowy",T18*'Założenia,wskaźniki, listy'!$G$44,IF(Q18="sieć ciepłownicza",0,IF(Q18="prąd",0,0)))))))</f>
        <v>0</v>
      </c>
      <c r="AK18" s="540">
        <f>IF(R18="węgiel",U18*'Założenia,wskaźniki, listy'!$C$45,IF(R18="gaz",U18*'Założenia,wskaźniki, listy'!$D$45,IF(R18="drewno",U18*'Założenia,wskaźniki, listy'!$E$45,IF(R18="pelet",U18*'Założenia,wskaźniki, listy'!$F$45,IF(R18="olej opałowy",U18*'Założenia,wskaźniki, listy'!$G$45,IF(R18="sieć ciepłownicza",0,IF(R18="prąd",0,0)))))))</f>
        <v>0</v>
      </c>
      <c r="AL18" s="540">
        <f>IF(R18="węgiel",U18*'Założenia,wskaźniki, listy'!$C$46,IF(R18="gaz",U18*'Założenia,wskaźniki, listy'!$D$46,IF(R18="drewno",U18*'Założenia,wskaźniki, listy'!$E$46,IF(R18="pelet",U18*'Założenia,wskaźniki, listy'!$F$46,IF(R18="olej opałowy",U18*'Założenia,wskaźniki, listy'!$G$46,IF(R18="sieć ciepłownicza",0,IF(R18="prąd",0,0)))))))</f>
        <v>0</v>
      </c>
      <c r="AM18" s="540">
        <f>IF(R18="węgiel",U18*'Założenia,wskaźniki, listy'!$C$47,IF(R18="gaz",U18*'Założenia,wskaźniki, listy'!$D$47,IF(R18="drewno",U18*'Założenia,wskaźniki, listy'!$E$47,IF(R18="pelet",U18*'Założenia,wskaźniki, listy'!$F$47,IF(R18="olej opałowy",U18*'Założenia,wskaźniki, listy'!$G$47,IF(R18="sieć ciepłownicza",0,IF(R18="prąd",0,0)))))))</f>
        <v>0</v>
      </c>
      <c r="AN18" s="540">
        <f>IF(R18="węgiel",U18*'Założenia,wskaźniki, listy'!$C$48,IF(R18="gaz",U18*'Założenia,wskaźniki, listy'!$D$48,IF(R18="drewno",U18*'Założenia,wskaźniki, listy'!$E$48,IF(R18="pelet",U18*'Założenia,wskaźniki, listy'!$F$48,IF(R18="olej opałowy",U18*'Założenia,wskaźniki, listy'!$G$48,IF(R18="sieć ciepłownicza",0,IF(R18="prąd",0,0)))))))</f>
        <v>0</v>
      </c>
      <c r="AO18" s="540">
        <f>IF(R18="węgiel",U18*'Założenia,wskaźniki, listy'!$C$49,IF(R18="gaz",U18*'Założenia,wskaźniki, listy'!$D$49,IF(R18="drewno",U18*'Założenia,wskaźniki, listy'!$E$49,IF(R18="pelet",U18*'Założenia,wskaźniki, listy'!$F$49,IF(R18="olej opałowy",U18*'Założenia,wskaźniki, listy'!$G$49,IF(R18="sieć ciepłownicza",0,IF(R18="prąd",0,0)))))))</f>
        <v>0</v>
      </c>
      <c r="AP18" s="540">
        <f>IF(R18="węgiel",U18*'Założenia,wskaźniki, listy'!$C$50,IF(R18="gaz",U18*'Założenia,wskaźniki, listy'!$D$50,IF(R18="drewno",U18*'Założenia,wskaźniki, listy'!$E$50,IF(R18="pelet",U18*'Założenia,wskaźniki, listy'!$F$50,IF(R18="olej opałowy",U18*'Założenia,wskaźniki, listy'!$G$50,IF(R18="sieć ciepłownicza",0,IF(R18="prąd",0,0)))))))</f>
        <v>0</v>
      </c>
      <c r="AQ18" s="540"/>
      <c r="AR18" s="540">
        <f t="shared" si="2"/>
        <v>0</v>
      </c>
      <c r="AS18" s="540">
        <f t="shared" si="3"/>
        <v>0</v>
      </c>
      <c r="AT18" s="540">
        <f>IF(Q18="energia el.",(IF(P18&gt;=50,AE18,X18)+AQ18*Z!$J$46),(IF(P18&gt;=50,AE18,X18)+AQ18*Z!$J$46))</f>
        <v>0</v>
      </c>
      <c r="AU18" s="540">
        <f t="shared" si="4"/>
        <v>0</v>
      </c>
      <c r="AV18" s="540">
        <f t="shared" si="5"/>
        <v>0</v>
      </c>
      <c r="AW18" s="540">
        <f t="shared" si="6"/>
        <v>0</v>
      </c>
      <c r="AX18" s="540">
        <f t="shared" si="7"/>
        <v>0</v>
      </c>
      <c r="AY18" s="88"/>
      <c r="AZ18" s="541"/>
      <c r="BA18" s="536"/>
      <c r="BB18" s="541"/>
      <c r="BC18" s="541"/>
      <c r="BD18" s="541"/>
      <c r="BE18" s="541"/>
      <c r="BF18" s="541"/>
      <c r="BG18" s="541"/>
      <c r="BH18" s="520"/>
      <c r="BI18" s="326">
        <f t="shared" si="8"/>
        <v>0</v>
      </c>
      <c r="BJ18" s="319">
        <f t="shared" si="9"/>
        <v>0</v>
      </c>
      <c r="BK18" s="319" t="b">
        <f t="shared" si="10"/>
        <v>0</v>
      </c>
      <c r="BL18" s="319" t="b">
        <f t="shared" si="11"/>
        <v>0</v>
      </c>
      <c r="BM18" s="319" t="b">
        <f t="shared" si="12"/>
        <v>0</v>
      </c>
      <c r="BN18" s="319" t="b">
        <f t="shared" si="13"/>
        <v>0</v>
      </c>
      <c r="BO18" s="319" t="b">
        <f t="shared" si="14"/>
        <v>0</v>
      </c>
      <c r="BP18" s="319" t="b">
        <f t="shared" si="15"/>
        <v>0</v>
      </c>
      <c r="BQ18" s="319" t="b">
        <f t="shared" si="16"/>
        <v>0</v>
      </c>
      <c r="BR18" s="319" t="b">
        <f t="shared" si="17"/>
        <v>0</v>
      </c>
      <c r="BS18" s="319" t="b">
        <f t="shared" si="18"/>
        <v>0</v>
      </c>
      <c r="BT18" s="319" t="b">
        <f t="shared" si="19"/>
        <v>0</v>
      </c>
      <c r="BU18" s="319" t="b">
        <f t="shared" si="20"/>
        <v>0</v>
      </c>
      <c r="BV18" s="319" t="b">
        <f t="shared" si="21"/>
        <v>0</v>
      </c>
      <c r="BW18" s="319" t="b">
        <f t="shared" si="22"/>
        <v>0</v>
      </c>
      <c r="BX18" s="319" t="b">
        <f t="shared" si="23"/>
        <v>0</v>
      </c>
      <c r="BY18" s="319" t="b">
        <f t="shared" si="24"/>
        <v>0</v>
      </c>
      <c r="BZ18" s="319" t="b">
        <f t="shared" si="25"/>
        <v>0</v>
      </c>
      <c r="CA18" s="319" t="b">
        <f t="shared" si="26"/>
        <v>0</v>
      </c>
      <c r="CB18" s="319" t="b">
        <f t="shared" si="27"/>
        <v>0</v>
      </c>
      <c r="CC18" s="319" t="b">
        <f t="shared" si="28"/>
        <v>0</v>
      </c>
      <c r="CD18" s="319" t="b">
        <f t="shared" si="29"/>
        <v>0</v>
      </c>
      <c r="CE18" s="319" t="b">
        <f t="shared" si="30"/>
        <v>0</v>
      </c>
    </row>
    <row r="19" spans="1:84" s="326" customFormat="1" ht="7.8" hidden="1">
      <c r="B19" s="324"/>
      <c r="C19" s="324"/>
      <c r="D19" s="325"/>
      <c r="F19" s="326">
        <f>SUM(F5:F18)</f>
        <v>0</v>
      </c>
      <c r="G19" s="326">
        <f>SUM(G5:G18)</f>
        <v>0</v>
      </c>
      <c r="H19" s="326">
        <f>SUM(H5:H18)</f>
        <v>0</v>
      </c>
      <c r="M19" s="327"/>
      <c r="N19" s="327"/>
      <c r="O19" s="305">
        <f>R19/$O$2*$O$3*1000</f>
        <v>0</v>
      </c>
      <c r="P19" s="327"/>
      <c r="R19" s="328">
        <f t="shared" ref="R19:AD19" si="32">SUM(R5:R18)</f>
        <v>0</v>
      </c>
      <c r="S19" s="328">
        <f t="shared" si="32"/>
        <v>0</v>
      </c>
      <c r="T19" s="328">
        <f t="shared" si="32"/>
        <v>0</v>
      </c>
      <c r="V19" s="328">
        <f t="shared" si="32"/>
        <v>0</v>
      </c>
      <c r="W19" s="328">
        <f t="shared" si="32"/>
        <v>0</v>
      </c>
      <c r="X19" s="328">
        <f t="shared" si="32"/>
        <v>0</v>
      </c>
      <c r="Y19" s="328">
        <f t="shared" si="32"/>
        <v>0</v>
      </c>
      <c r="Z19" s="328">
        <f t="shared" si="32"/>
        <v>0</v>
      </c>
      <c r="AA19" s="328">
        <f t="shared" si="32"/>
        <v>0</v>
      </c>
      <c r="AB19" s="328">
        <f t="shared" si="32"/>
        <v>0</v>
      </c>
      <c r="AC19" s="328">
        <f t="shared" si="32"/>
        <v>0</v>
      </c>
      <c r="AD19" s="328">
        <f t="shared" si="32"/>
        <v>0</v>
      </c>
      <c r="AE19" s="328"/>
      <c r="AF19" s="328"/>
      <c r="AG19" s="328"/>
      <c r="AH19" s="328"/>
      <c r="AI19" s="328"/>
      <c r="AJ19" s="328">
        <f t="shared" ref="AJ19:AQ19" si="33">SUM(AJ5:AJ18)</f>
        <v>0</v>
      </c>
      <c r="AK19" s="328">
        <f t="shared" si="33"/>
        <v>0</v>
      </c>
      <c r="AL19" s="328">
        <f t="shared" si="33"/>
        <v>0</v>
      </c>
      <c r="AM19" s="328">
        <f t="shared" si="33"/>
        <v>0</v>
      </c>
      <c r="AN19" s="328">
        <f t="shared" si="33"/>
        <v>0</v>
      </c>
      <c r="AO19" s="328">
        <f t="shared" si="33"/>
        <v>0</v>
      </c>
      <c r="AP19" s="328">
        <f t="shared" si="33"/>
        <v>0</v>
      </c>
      <c r="AQ19" s="328">
        <f t="shared" si="33"/>
        <v>0</v>
      </c>
      <c r="AR19" s="328"/>
      <c r="AS19" s="328"/>
      <c r="AT19" s="328"/>
      <c r="AU19" s="328"/>
      <c r="AV19" s="328"/>
      <c r="AW19" s="328"/>
      <c r="AX19" s="328"/>
      <c r="BB19" s="327"/>
      <c r="BH19" s="327"/>
      <c r="BI19" s="326">
        <f t="shared" ref="BI19:CE19" si="34">SUM(BI5:BI18)</f>
        <v>0</v>
      </c>
      <c r="BJ19" s="800">
        <f t="shared" si="34"/>
        <v>0</v>
      </c>
      <c r="BK19" s="800">
        <f t="shared" si="34"/>
        <v>0</v>
      </c>
      <c r="BL19" s="800">
        <f t="shared" si="34"/>
        <v>0</v>
      </c>
      <c r="BM19" s="800">
        <f t="shared" si="34"/>
        <v>0</v>
      </c>
      <c r="BN19" s="800">
        <f t="shared" si="34"/>
        <v>0</v>
      </c>
      <c r="BO19" s="800">
        <f t="shared" si="34"/>
        <v>0</v>
      </c>
      <c r="BP19" s="800">
        <f t="shared" si="34"/>
        <v>0</v>
      </c>
      <c r="BQ19" s="800">
        <f t="shared" si="34"/>
        <v>0</v>
      </c>
      <c r="BR19" s="800">
        <f t="shared" si="34"/>
        <v>0</v>
      </c>
      <c r="BS19" s="800">
        <f t="shared" si="34"/>
        <v>0</v>
      </c>
      <c r="BT19" s="800">
        <f t="shared" si="34"/>
        <v>0</v>
      </c>
      <c r="BU19" s="800">
        <f t="shared" si="34"/>
        <v>0</v>
      </c>
      <c r="BV19" s="800">
        <f t="shared" si="34"/>
        <v>0</v>
      </c>
      <c r="BW19" s="800">
        <f t="shared" si="34"/>
        <v>0</v>
      </c>
      <c r="BX19" s="800">
        <f t="shared" si="34"/>
        <v>0</v>
      </c>
      <c r="BY19" s="800">
        <f t="shared" si="34"/>
        <v>0</v>
      </c>
      <c r="BZ19" s="800">
        <f t="shared" si="34"/>
        <v>0</v>
      </c>
      <c r="CA19" s="800">
        <f t="shared" si="34"/>
        <v>0</v>
      </c>
      <c r="CB19" s="800">
        <f t="shared" si="34"/>
        <v>0</v>
      </c>
      <c r="CC19" s="800">
        <f t="shared" si="34"/>
        <v>0</v>
      </c>
      <c r="CD19" s="800">
        <f t="shared" si="34"/>
        <v>0</v>
      </c>
      <c r="CE19" s="800">
        <f t="shared" si="34"/>
        <v>0</v>
      </c>
    </row>
    <row r="20" spans="1:84" s="326" customFormat="1">
      <c r="B20" s="324"/>
      <c r="C20" s="324"/>
      <c r="D20" s="325"/>
      <c r="M20" s="327"/>
      <c r="N20" s="327"/>
      <c r="O20" s="327"/>
      <c r="P20" s="327"/>
      <c r="V20" s="327"/>
      <c r="W20" s="327"/>
      <c r="X20" s="327"/>
      <c r="Y20" s="327"/>
      <c r="Z20" s="327"/>
      <c r="AA20" s="327"/>
      <c r="BB20" s="327"/>
      <c r="BH20" s="327"/>
      <c r="BJ20" s="485" t="e">
        <f>BJ19/$D$379</f>
        <v>#DIV/0!</v>
      </c>
      <c r="BK20" s="485" t="e">
        <f>BK19/BJ19</f>
        <v>#DIV/0!</v>
      </c>
      <c r="BL20" s="485" t="e">
        <f>BL19/$D$379</f>
        <v>#DIV/0!</v>
      </c>
      <c r="BM20" s="485" t="e">
        <f>BM19/BL19</f>
        <v>#DIV/0!</v>
      </c>
      <c r="BN20" s="485" t="e">
        <f>BN19/$D$379</f>
        <v>#DIV/0!</v>
      </c>
      <c r="BO20" s="485" t="e">
        <f>BO19/BN19</f>
        <v>#DIV/0!</v>
      </c>
      <c r="BP20" s="485" t="e">
        <f>BP19/$D$379</f>
        <v>#DIV/0!</v>
      </c>
      <c r="BQ20" s="485" t="e">
        <f>BQ19/BP19</f>
        <v>#DIV/0!</v>
      </c>
      <c r="BR20" s="485" t="e">
        <f>BR19/$D$379</f>
        <v>#DIV/0!</v>
      </c>
      <c r="BS20" s="485" t="e">
        <f>BS19/BR19</f>
        <v>#DIV/0!</v>
      </c>
      <c r="BT20" s="319"/>
      <c r="BU20" s="319"/>
      <c r="BV20" s="319"/>
      <c r="BW20" s="319"/>
      <c r="BX20" s="319"/>
      <c r="BY20" s="319"/>
      <c r="BZ20" s="319"/>
      <c r="CA20" s="319"/>
      <c r="CB20" s="319"/>
      <c r="CC20" s="319"/>
      <c r="CD20" s="319"/>
      <c r="CE20" s="319"/>
    </row>
    <row r="21" spans="1:84" s="326" customFormat="1">
      <c r="B21" s="1003" t="s">
        <v>541</v>
      </c>
      <c r="C21" s="1003"/>
      <c r="D21" s="1003"/>
      <c r="E21" s="1003"/>
      <c r="M21" s="327"/>
      <c r="N21" s="327"/>
      <c r="O21" s="327"/>
      <c r="P21" s="327"/>
      <c r="V21" s="327"/>
      <c r="W21" s="327"/>
      <c r="X21" s="327"/>
      <c r="Y21" s="327"/>
      <c r="Z21" s="327"/>
      <c r="AA21" s="327"/>
      <c r="BB21" s="327"/>
      <c r="BH21" s="327"/>
      <c r="BJ21" s="319" t="e">
        <f>#REF!-#REF!</f>
        <v>#REF!</v>
      </c>
      <c r="BK21" s="319"/>
      <c r="BL21" s="319"/>
      <c r="BM21" s="319"/>
      <c r="BN21" s="319"/>
      <c r="BO21" s="319"/>
      <c r="BP21" s="319"/>
      <c r="BQ21" s="319"/>
      <c r="BR21" s="319"/>
      <c r="BS21" s="319"/>
      <c r="BT21" s="319"/>
      <c r="BU21" s="319"/>
      <c r="BV21" s="319"/>
      <c r="BW21" s="319"/>
      <c r="BX21" s="319"/>
      <c r="BY21" s="319"/>
      <c r="BZ21" s="319"/>
      <c r="CA21" s="319"/>
      <c r="CB21" s="319"/>
      <c r="CC21" s="319"/>
      <c r="CD21" s="319"/>
      <c r="CE21" s="319"/>
    </row>
    <row r="22" spans="1:84" s="326" customFormat="1">
      <c r="B22" s="336" t="s">
        <v>292</v>
      </c>
      <c r="C22" s="88"/>
      <c r="D22" s="88" t="s">
        <v>375</v>
      </c>
      <c r="E22" s="337"/>
      <c r="M22" s="327"/>
      <c r="N22" s="327"/>
      <c r="O22" s="327"/>
      <c r="P22" s="327"/>
      <c r="V22" s="327"/>
      <c r="W22" s="327"/>
      <c r="X22" s="327"/>
      <c r="Y22" s="327"/>
      <c r="Z22" s="327"/>
      <c r="AA22" s="327"/>
      <c r="BB22" s="327"/>
      <c r="BH22" s="327"/>
      <c r="BJ22" s="319"/>
      <c r="BK22" s="319"/>
      <c r="BL22" s="319"/>
      <c r="BM22" s="319"/>
      <c r="BN22" s="319"/>
      <c r="BO22" s="319"/>
      <c r="BP22" s="319"/>
      <c r="BQ22" s="319"/>
      <c r="BR22" s="319"/>
      <c r="BS22" s="319"/>
      <c r="BT22" s="319"/>
      <c r="BU22" s="319"/>
      <c r="BV22" s="319"/>
      <c r="BW22" s="319"/>
      <c r="BX22" s="319"/>
      <c r="BY22" s="319"/>
      <c r="BZ22" s="319"/>
      <c r="CA22" s="319"/>
      <c r="CB22" s="319"/>
      <c r="CC22" s="319"/>
      <c r="CD22" s="319"/>
      <c r="CE22" s="319"/>
    </row>
    <row r="23" spans="1:84" s="326" customFormat="1">
      <c r="B23" s="615" t="s">
        <v>8</v>
      </c>
      <c r="C23" s="88"/>
      <c r="D23" s="88">
        <f>SUMIFS($U$5:$U$18,$K$5:$K$18,B23)</f>
        <v>0</v>
      </c>
      <c r="E23" s="337" t="e">
        <f>D23/$D$31</f>
        <v>#DIV/0!</v>
      </c>
      <c r="M23" s="327"/>
      <c r="N23" s="327"/>
      <c r="O23" s="327"/>
      <c r="P23" s="327"/>
      <c r="V23" s="327"/>
      <c r="W23" s="327"/>
      <c r="X23" s="327"/>
      <c r="Y23" s="327"/>
      <c r="Z23" s="327"/>
      <c r="AA23" s="327"/>
      <c r="BB23" s="327"/>
      <c r="BH23" s="327"/>
      <c r="BJ23" s="1046" t="s">
        <v>124</v>
      </c>
      <c r="BK23" s="1046"/>
      <c r="BL23" s="1046"/>
      <c r="BM23" s="319" t="s">
        <v>119</v>
      </c>
      <c r="BN23" s="319"/>
      <c r="BO23" s="319"/>
      <c r="BP23" s="319" t="s">
        <v>126</v>
      </c>
      <c r="BQ23" s="319"/>
      <c r="BR23" s="319"/>
      <c r="BS23" s="319" t="s">
        <v>127</v>
      </c>
      <c r="BT23" s="319" t="s">
        <v>278</v>
      </c>
      <c r="BU23" s="319"/>
      <c r="BV23" s="319"/>
      <c r="BW23" s="319"/>
      <c r="BX23" s="319"/>
      <c r="BY23" s="319"/>
      <c r="BZ23" s="319"/>
      <c r="CA23" s="319"/>
      <c r="CB23" s="319"/>
      <c r="CC23" s="319"/>
      <c r="CD23" s="319"/>
      <c r="CE23" s="319"/>
    </row>
    <row r="24" spans="1:84" s="326" customFormat="1">
      <c r="B24" s="615" t="s">
        <v>26</v>
      </c>
      <c r="C24" s="88"/>
      <c r="D24" s="88">
        <f>SUMIFS($U$5:$U$18,$K$5:$K$18,B24)</f>
        <v>0</v>
      </c>
      <c r="E24" s="337" t="e">
        <f t="shared" ref="E24:E28" si="35">D24/$D$31</f>
        <v>#DIV/0!</v>
      </c>
      <c r="M24" s="327"/>
      <c r="N24" s="327"/>
      <c r="O24" s="327"/>
      <c r="P24" s="327"/>
      <c r="V24" s="327"/>
      <c r="W24" s="327"/>
      <c r="X24" s="327"/>
      <c r="Y24" s="327"/>
      <c r="Z24" s="327"/>
      <c r="AA24" s="327"/>
      <c r="BB24" s="327"/>
      <c r="BH24" s="327"/>
      <c r="BJ24" s="779" t="s">
        <v>8</v>
      </c>
      <c r="BK24" s="319">
        <f>BT19+BZ19</f>
        <v>0</v>
      </c>
      <c r="BL24" s="801" t="e">
        <f>BK24/$BK$31</f>
        <v>#DIV/0!</v>
      </c>
      <c r="BM24" s="802" t="e">
        <f>BL24*$BM$31</f>
        <v>#DIV/0!</v>
      </c>
      <c r="BN24" s="319"/>
      <c r="BO24" s="319"/>
      <c r="BP24" s="779" t="s">
        <v>114</v>
      </c>
      <c r="BQ24" s="803">
        <f>BJ19</f>
        <v>0</v>
      </c>
      <c r="BR24" s="803" t="e">
        <f>BQ24/$BQ$29</f>
        <v>#DIV/0!</v>
      </c>
      <c r="BS24" s="484" t="e">
        <f>BK20</f>
        <v>#DIV/0!</v>
      </c>
      <c r="BT24" s="530"/>
      <c r="BU24" s="319"/>
      <c r="BV24" s="319"/>
      <c r="BW24" s="319"/>
      <c r="BX24" s="319"/>
      <c r="BY24" s="319"/>
      <c r="BZ24" s="319"/>
      <c r="CA24" s="319"/>
      <c r="CB24" s="319"/>
      <c r="CC24" s="319"/>
      <c r="CD24" s="319"/>
      <c r="CE24" s="319"/>
    </row>
    <row r="25" spans="1:84" s="326" customFormat="1">
      <c r="B25" s="615" t="s">
        <v>79</v>
      </c>
      <c r="C25" s="88"/>
      <c r="D25" s="88">
        <f>SUMIFS($U$5:$U$18,$K$5:$K$18,B25)</f>
        <v>0</v>
      </c>
      <c r="E25" s="337" t="e">
        <f t="shared" si="35"/>
        <v>#DIV/0!</v>
      </c>
      <c r="M25" s="327"/>
      <c r="N25" s="327"/>
      <c r="O25" s="327"/>
      <c r="P25" s="327"/>
      <c r="V25" s="327"/>
      <c r="W25" s="327"/>
      <c r="X25" s="327"/>
      <c r="Y25" s="327"/>
      <c r="Z25" s="327"/>
      <c r="AA25" s="327"/>
      <c r="BB25" s="327"/>
      <c r="BH25" s="327"/>
      <c r="BJ25" s="779" t="s">
        <v>116</v>
      </c>
      <c r="BK25" s="319">
        <f>BU19+CA19</f>
        <v>0</v>
      </c>
      <c r="BL25" s="801" t="e">
        <f t="shared" ref="BL25:BL30" si="36">BK25/$BK$31</f>
        <v>#DIV/0!</v>
      </c>
      <c r="BM25" s="802" t="e">
        <f t="shared" ref="BM25:BM30" si="37">BL25*$BM$31</f>
        <v>#DIV/0!</v>
      </c>
      <c r="BN25" s="319"/>
      <c r="BO25" s="319"/>
      <c r="BP25" s="605" t="s">
        <v>38</v>
      </c>
      <c r="BQ25" s="803">
        <f>BL19</f>
        <v>0</v>
      </c>
      <c r="BR25" s="803" t="e">
        <f t="shared" ref="BR25:BR28" si="38">BQ25/$BQ$29</f>
        <v>#DIV/0!</v>
      </c>
      <c r="BS25" s="484" t="e">
        <f>BM20</f>
        <v>#DIV/0!</v>
      </c>
      <c r="BT25" s="530"/>
      <c r="BU25" s="319"/>
      <c r="BV25" s="319"/>
      <c r="BW25" s="319"/>
      <c r="BX25" s="319"/>
      <c r="BY25" s="319"/>
      <c r="BZ25" s="319"/>
      <c r="CA25" s="319"/>
      <c r="CB25" s="319"/>
      <c r="CC25" s="319"/>
      <c r="CD25" s="319"/>
      <c r="CE25" s="319"/>
    </row>
    <row r="26" spans="1:84" s="326" customFormat="1">
      <c r="B26" s="615" t="s">
        <v>27</v>
      </c>
      <c r="C26" s="88"/>
      <c r="D26" s="88">
        <f>SUMIFS($U$5:$U$18,$K$5:$K$18,B26)</f>
        <v>0</v>
      </c>
      <c r="E26" s="337" t="e">
        <f t="shared" si="35"/>
        <v>#DIV/0!</v>
      </c>
      <c r="M26" s="327"/>
      <c r="N26" s="327"/>
      <c r="O26" s="327"/>
      <c r="P26" s="327"/>
      <c r="V26" s="327"/>
      <c r="W26" s="327"/>
      <c r="X26" s="327"/>
      <c r="Y26" s="327"/>
      <c r="Z26" s="327"/>
      <c r="AA26" s="327"/>
      <c r="BB26" s="327"/>
      <c r="BH26" s="327"/>
      <c r="BJ26" s="779" t="s">
        <v>79</v>
      </c>
      <c r="BK26" s="319">
        <f>BV19+CB19</f>
        <v>0</v>
      </c>
      <c r="BL26" s="801" t="e">
        <f t="shared" si="36"/>
        <v>#DIV/0!</v>
      </c>
      <c r="BM26" s="802" t="e">
        <f t="shared" si="37"/>
        <v>#DIV/0!</v>
      </c>
      <c r="BN26" s="319"/>
      <c r="BO26" s="319"/>
      <c r="BP26" s="605" t="s">
        <v>40</v>
      </c>
      <c r="BQ26" s="803">
        <f>BN19</f>
        <v>0</v>
      </c>
      <c r="BR26" s="803" t="e">
        <f t="shared" si="38"/>
        <v>#DIV/0!</v>
      </c>
      <c r="BS26" s="484" t="e">
        <f>BO20</f>
        <v>#DIV/0!</v>
      </c>
      <c r="BT26" s="530"/>
      <c r="BU26" s="319"/>
      <c r="BV26" s="319"/>
      <c r="BW26" s="319"/>
      <c r="BX26" s="319"/>
      <c r="BY26" s="319"/>
      <c r="BZ26" s="319"/>
      <c r="CA26" s="319"/>
      <c r="CB26" s="319"/>
      <c r="CC26" s="319"/>
      <c r="CD26" s="319"/>
      <c r="CE26" s="319"/>
    </row>
    <row r="27" spans="1:84" s="326" customFormat="1">
      <c r="B27" s="615" t="s">
        <v>7</v>
      </c>
      <c r="C27" s="88"/>
      <c r="D27" s="88">
        <f>SUMIFS($U$5:$U$18,$K$5:$K$18,B27)</f>
        <v>0</v>
      </c>
      <c r="E27" s="337" t="e">
        <f t="shared" si="35"/>
        <v>#DIV/0!</v>
      </c>
      <c r="M27" s="327"/>
      <c r="N27" s="327"/>
      <c r="O27" s="327"/>
      <c r="P27" s="327"/>
      <c r="V27" s="327"/>
      <c r="W27" s="327"/>
      <c r="X27" s="327"/>
      <c r="Y27" s="327"/>
      <c r="Z27" s="327"/>
      <c r="AA27" s="327"/>
      <c r="BB27" s="327"/>
      <c r="BH27" s="327"/>
      <c r="BJ27" s="779" t="s">
        <v>27</v>
      </c>
      <c r="BK27" s="319">
        <v>0</v>
      </c>
      <c r="BL27" s="801" t="e">
        <f t="shared" si="36"/>
        <v>#DIV/0!</v>
      </c>
      <c r="BM27" s="802" t="e">
        <f t="shared" si="37"/>
        <v>#DIV/0!</v>
      </c>
      <c r="BN27" s="319"/>
      <c r="BO27" s="319"/>
      <c r="BP27" s="605" t="s">
        <v>42</v>
      </c>
      <c r="BQ27" s="803">
        <f>BP19</f>
        <v>0</v>
      </c>
      <c r="BR27" s="803" t="e">
        <f t="shared" si="38"/>
        <v>#DIV/0!</v>
      </c>
      <c r="BS27" s="484" t="e">
        <f>BQ20</f>
        <v>#DIV/0!</v>
      </c>
      <c r="BT27" s="530"/>
      <c r="BU27" s="319"/>
      <c r="BV27" s="319"/>
      <c r="BW27" s="319"/>
      <c r="BX27" s="319"/>
      <c r="BY27" s="319"/>
      <c r="BZ27" s="319"/>
      <c r="CA27" s="319"/>
      <c r="CB27" s="319"/>
      <c r="CC27" s="319"/>
      <c r="CD27" s="319"/>
      <c r="CE27" s="319"/>
    </row>
    <row r="28" spans="1:84" s="326" customFormat="1">
      <c r="B28" s="615" t="s">
        <v>313</v>
      </c>
      <c r="C28" s="88"/>
      <c r="D28" s="88">
        <f>BK29</f>
        <v>0</v>
      </c>
      <c r="E28" s="337" t="e">
        <f t="shared" si="35"/>
        <v>#DIV/0!</v>
      </c>
      <c r="M28" s="327"/>
      <c r="N28" s="327"/>
      <c r="O28" s="327"/>
      <c r="P28" s="327"/>
      <c r="V28" s="327"/>
      <c r="W28" s="327"/>
      <c r="X28" s="327"/>
      <c r="Y28" s="327"/>
      <c r="Z28" s="327"/>
      <c r="AA28" s="327"/>
      <c r="BB28" s="327"/>
      <c r="BH28" s="327"/>
      <c r="BJ28" s="779" t="s">
        <v>117</v>
      </c>
      <c r="BK28" s="319">
        <v>0</v>
      </c>
      <c r="BL28" s="801" t="e">
        <f t="shared" si="36"/>
        <v>#DIV/0!</v>
      </c>
      <c r="BM28" s="802" t="e">
        <f t="shared" si="37"/>
        <v>#DIV/0!</v>
      </c>
      <c r="BN28" s="319"/>
      <c r="BO28" s="319"/>
      <c r="BP28" s="605" t="s">
        <v>44</v>
      </c>
      <c r="BQ28" s="803">
        <f>BR19</f>
        <v>0</v>
      </c>
      <c r="BR28" s="803" t="e">
        <f t="shared" si="38"/>
        <v>#DIV/0!</v>
      </c>
      <c r="BS28" s="484" t="e">
        <f>BS20</f>
        <v>#DIV/0!</v>
      </c>
      <c r="BT28" s="530"/>
      <c r="BU28" s="319"/>
      <c r="BV28" s="319"/>
      <c r="BW28" s="319"/>
      <c r="BX28" s="319"/>
      <c r="BY28" s="319"/>
      <c r="BZ28" s="319"/>
      <c r="CA28" s="319"/>
      <c r="CB28" s="319"/>
      <c r="CC28" s="319"/>
      <c r="CD28" s="319"/>
      <c r="CE28" s="319"/>
    </row>
    <row r="29" spans="1:84" s="326" customFormat="1">
      <c r="B29" s="615" t="s">
        <v>3</v>
      </c>
      <c r="C29" s="88"/>
      <c r="D29" s="88">
        <f>SUMIFS($U$5:$U$18,$K$5:$K$18,B29)</f>
        <v>0</v>
      </c>
      <c r="E29" s="337">
        <v>0</v>
      </c>
      <c r="M29" s="327"/>
      <c r="N29" s="327"/>
      <c r="O29" s="327"/>
      <c r="P29" s="327"/>
      <c r="V29" s="327"/>
      <c r="W29" s="327"/>
      <c r="X29" s="327"/>
      <c r="Y29" s="327"/>
      <c r="Z29" s="327"/>
      <c r="AA29" s="327"/>
      <c r="BB29" s="327"/>
      <c r="BH29" s="327"/>
      <c r="BJ29" s="779" t="str">
        <f>B28</f>
        <v>energia el.</v>
      </c>
      <c r="BK29" s="319">
        <f>BY19+CE19</f>
        <v>0</v>
      </c>
      <c r="BL29" s="801" t="e">
        <f t="shared" si="36"/>
        <v>#DIV/0!</v>
      </c>
      <c r="BM29" s="802" t="e">
        <f t="shared" si="37"/>
        <v>#DIV/0!</v>
      </c>
      <c r="BN29" s="319"/>
      <c r="BO29" s="319"/>
      <c r="BP29" s="779"/>
      <c r="BQ29" s="803">
        <f>SUM(BQ24:BQ28)</f>
        <v>0</v>
      </c>
      <c r="BR29" s="803" t="e">
        <f>SUM(BR24:BR28)</f>
        <v>#DIV/0!</v>
      </c>
      <c r="BS29" s="319"/>
      <c r="BT29" s="319"/>
      <c r="BU29" s="319"/>
      <c r="BV29" s="319"/>
      <c r="BW29" s="319"/>
      <c r="BX29" s="319"/>
      <c r="BY29" s="319"/>
      <c r="BZ29" s="319"/>
      <c r="CA29" s="319"/>
      <c r="CB29" s="319"/>
      <c r="CC29" s="319"/>
      <c r="CD29" s="319"/>
      <c r="CE29" s="319"/>
    </row>
    <row r="30" spans="1:84" s="326" customFormat="1">
      <c r="B30" s="615" t="s">
        <v>352</v>
      </c>
      <c r="C30" s="88"/>
      <c r="D30" s="88">
        <f>SUMIFS($R$5:$R$18,$K$5:$K$18,B30)</f>
        <v>0</v>
      </c>
      <c r="E30" s="337" t="e">
        <f t="shared" ref="E30" si="39">D30/$R$19</f>
        <v>#DIV/0!</v>
      </c>
      <c r="M30" s="327"/>
      <c r="N30" s="327"/>
      <c r="O30" s="327"/>
      <c r="P30" s="327"/>
      <c r="V30" s="327"/>
      <c r="W30" s="327"/>
      <c r="X30" s="327"/>
      <c r="Y30" s="327"/>
      <c r="Z30" s="327"/>
      <c r="AA30" s="327"/>
      <c r="BB30" s="327"/>
      <c r="BH30" s="327"/>
      <c r="BJ30" s="779" t="s">
        <v>128</v>
      </c>
      <c r="BK30" s="319">
        <f>BA19*1.8*520*3.6/1000</f>
        <v>0</v>
      </c>
      <c r="BL30" s="801" t="e">
        <f t="shared" si="36"/>
        <v>#DIV/0!</v>
      </c>
      <c r="BM30" s="802" t="e">
        <f t="shared" si="37"/>
        <v>#DIV/0!</v>
      </c>
      <c r="BN30" s="319"/>
      <c r="BO30" s="319"/>
      <c r="BP30" s="319"/>
      <c r="BQ30" s="319"/>
      <c r="BR30" s="484">
        <f>1-BQ29</f>
        <v>1</v>
      </c>
      <c r="BS30" s="319"/>
      <c r="BT30" s="319"/>
      <c r="BU30" s="319"/>
      <c r="BV30" s="319"/>
      <c r="BW30" s="319"/>
      <c r="BX30" s="319"/>
      <c r="BY30" s="319"/>
      <c r="BZ30" s="319"/>
      <c r="CA30" s="319"/>
      <c r="CB30" s="319"/>
      <c r="CC30" s="319"/>
      <c r="CD30" s="319"/>
      <c r="CE30" s="319"/>
    </row>
    <row r="31" spans="1:84" s="326" customFormat="1">
      <c r="B31" s="88"/>
      <c r="C31" s="88"/>
      <c r="D31" s="88">
        <f>SUM(D23:D30)</f>
        <v>0</v>
      </c>
      <c r="E31" s="612" t="e">
        <f>SUM(E23:E30)</f>
        <v>#DIV/0!</v>
      </c>
      <c r="M31" s="327"/>
      <c r="N31" s="327"/>
      <c r="O31" s="327"/>
      <c r="P31" s="327"/>
      <c r="V31" s="327"/>
      <c r="W31" s="327"/>
      <c r="X31" s="327"/>
      <c r="Y31" s="327"/>
      <c r="Z31" s="327"/>
      <c r="AA31" s="327"/>
      <c r="BB31" s="327"/>
      <c r="BH31" s="327"/>
      <c r="BJ31" s="319" t="s">
        <v>119</v>
      </c>
      <c r="BK31" s="803">
        <f>SUM(BK24:BK30)</f>
        <v>0</v>
      </c>
      <c r="BL31" s="801" t="e">
        <f>SUM(BL24:BL30)</f>
        <v>#DIV/0!</v>
      </c>
      <c r="BM31" s="804">
        <f>R19</f>
        <v>0</v>
      </c>
      <c r="BN31" s="319"/>
      <c r="BO31" s="319"/>
      <c r="BP31" s="779"/>
      <c r="BQ31" s="319"/>
      <c r="BR31" s="319"/>
      <c r="BS31" s="319"/>
      <c r="BT31" s="319"/>
      <c r="BU31" s="319"/>
      <c r="BV31" s="319"/>
      <c r="BW31" s="319"/>
      <c r="BX31" s="319"/>
      <c r="BY31" s="319"/>
      <c r="BZ31" s="319"/>
      <c r="CA31" s="319"/>
      <c r="CB31" s="319"/>
      <c r="CC31" s="319"/>
      <c r="CD31" s="319"/>
      <c r="CE31" s="319"/>
    </row>
    <row r="32" spans="1:84" s="326" customFormat="1" ht="10.199999999999999">
      <c r="M32" s="327"/>
      <c r="N32" s="327"/>
      <c r="O32" s="327"/>
      <c r="P32" s="327"/>
      <c r="V32" s="327"/>
      <c r="W32" s="327"/>
      <c r="X32" s="327"/>
      <c r="Y32" s="327"/>
      <c r="Z32" s="327"/>
      <c r="AA32" s="327"/>
      <c r="BB32" s="327"/>
      <c r="BH32" s="505"/>
      <c r="BJ32" s="319"/>
      <c r="BK32" s="319"/>
      <c r="BL32" s="319"/>
      <c r="BM32" s="319"/>
      <c r="BN32" s="319"/>
      <c r="BO32" s="319"/>
      <c r="BP32" s="319"/>
      <c r="BQ32" s="805">
        <v>96573</v>
      </c>
      <c r="BR32" s="805">
        <v>128619</v>
      </c>
      <c r="BS32" s="319">
        <f>BR32-BQ32</f>
        <v>32046</v>
      </c>
      <c r="BT32" s="319"/>
      <c r="BU32" s="319"/>
      <c r="BV32" s="319"/>
      <c r="BW32" s="319"/>
      <c r="BX32" s="319"/>
      <c r="BY32" s="319"/>
      <c r="BZ32" s="319"/>
      <c r="CA32" s="319"/>
      <c r="CB32" s="319"/>
      <c r="CC32" s="319"/>
      <c r="CD32" s="319"/>
      <c r="CE32" s="319"/>
    </row>
    <row r="33" spans="2:83" s="326" customFormat="1">
      <c r="M33" s="327"/>
      <c r="N33" s="327"/>
      <c r="O33" s="327"/>
      <c r="P33" s="327"/>
      <c r="V33" s="327"/>
      <c r="W33" s="327"/>
      <c r="X33" s="327"/>
      <c r="Y33" s="327"/>
      <c r="Z33" s="327"/>
      <c r="AA33" s="327"/>
      <c r="BB33" s="327"/>
      <c r="BH33" s="327"/>
      <c r="BJ33" s="319"/>
      <c r="BK33" s="319"/>
      <c r="BL33" s="319"/>
      <c r="BM33" s="319"/>
      <c r="BN33" s="319"/>
      <c r="BO33" s="319"/>
      <c r="BP33" s="319"/>
      <c r="BQ33" s="319"/>
      <c r="BR33" s="319"/>
      <c r="BS33" s="319"/>
      <c r="BT33" s="319"/>
      <c r="BU33" s="319"/>
      <c r="BV33" s="319"/>
      <c r="BW33" s="319"/>
      <c r="BX33" s="319"/>
      <c r="BY33" s="319"/>
      <c r="BZ33" s="319"/>
      <c r="CA33" s="319"/>
      <c r="CB33" s="319"/>
      <c r="CC33" s="319"/>
      <c r="CD33" s="319"/>
      <c r="CE33" s="319"/>
    </row>
    <row r="34" spans="2:83" s="326" customFormat="1">
      <c r="M34" s="327"/>
      <c r="N34" s="327"/>
      <c r="O34" s="327"/>
      <c r="P34" s="327"/>
      <c r="V34" s="327"/>
      <c r="W34" s="327"/>
      <c r="X34" s="327"/>
      <c r="Y34" s="327"/>
      <c r="Z34" s="327"/>
      <c r="AA34" s="327"/>
      <c r="BB34" s="327"/>
      <c r="BH34" s="327"/>
      <c r="BJ34" s="319"/>
      <c r="BK34" s="319"/>
      <c r="BL34" s="319"/>
      <c r="BM34" s="319"/>
      <c r="BN34" s="319"/>
      <c r="BO34" s="319"/>
      <c r="BP34" s="319"/>
      <c r="BQ34" s="319"/>
      <c r="BR34" s="319"/>
      <c r="BS34" s="319"/>
      <c r="BT34" s="319"/>
      <c r="BU34" s="319"/>
      <c r="BV34" s="319"/>
      <c r="BW34" s="319"/>
      <c r="BX34" s="319"/>
      <c r="BY34" s="319"/>
      <c r="BZ34" s="319"/>
      <c r="CA34" s="319"/>
      <c r="CB34" s="319"/>
      <c r="CC34" s="319"/>
      <c r="CD34" s="319"/>
      <c r="CE34" s="319"/>
    </row>
    <row r="35" spans="2:83" s="326" customFormat="1">
      <c r="M35" s="327"/>
      <c r="N35" s="327"/>
      <c r="O35" s="327"/>
      <c r="P35" s="327"/>
      <c r="V35" s="327"/>
      <c r="W35" s="327"/>
      <c r="X35" s="327"/>
      <c r="Y35" s="327"/>
      <c r="Z35" s="327"/>
      <c r="AA35" s="327"/>
      <c r="BB35" s="327"/>
      <c r="BH35" s="327"/>
      <c r="BM35" s="613" t="s">
        <v>113</v>
      </c>
      <c r="BN35" s="613" t="s">
        <v>291</v>
      </c>
      <c r="BO35" s="326" t="s">
        <v>228</v>
      </c>
      <c r="BP35" s="319"/>
      <c r="BQ35" s="319"/>
      <c r="BR35" s="614"/>
      <c r="BS35" s="319"/>
      <c r="BT35" s="319"/>
      <c r="BU35" s="319"/>
      <c r="BV35" s="319"/>
      <c r="BW35" s="319"/>
      <c r="BX35" s="319"/>
      <c r="BY35" s="319"/>
      <c r="BZ35" s="319"/>
      <c r="CA35" s="319"/>
      <c r="CB35" s="319"/>
      <c r="CC35" s="319"/>
      <c r="CD35" s="319"/>
      <c r="CE35" s="319"/>
    </row>
    <row r="36" spans="2:83" s="326" customFormat="1">
      <c r="M36" s="327"/>
      <c r="N36" s="327"/>
      <c r="O36" s="327"/>
      <c r="P36" s="327"/>
      <c r="V36" s="327"/>
      <c r="W36" s="327"/>
      <c r="X36" s="327"/>
      <c r="Y36" s="327"/>
      <c r="Z36" s="327"/>
      <c r="AA36" s="327"/>
      <c r="BB36" s="327"/>
      <c r="BH36" s="327"/>
      <c r="BM36" s="326" t="s">
        <v>99</v>
      </c>
      <c r="BN36" s="326" t="s">
        <v>99</v>
      </c>
      <c r="BP36" s="611"/>
      <c r="BQ36" s="319" t="s">
        <v>293</v>
      </c>
      <c r="BR36" s="614"/>
      <c r="BS36" s="319"/>
      <c r="BT36" s="319"/>
      <c r="BU36" s="319"/>
      <c r="BV36" s="319"/>
      <c r="BW36" s="319"/>
      <c r="BX36" s="319"/>
      <c r="BY36" s="319"/>
      <c r="BZ36" s="319"/>
      <c r="CA36" s="319"/>
      <c r="CB36" s="319"/>
      <c r="CC36" s="319"/>
      <c r="CD36" s="319"/>
      <c r="CE36" s="319"/>
    </row>
    <row r="37" spans="2:83" s="326" customFormat="1">
      <c r="M37" s="327"/>
      <c r="N37" s="327"/>
      <c r="O37" s="327"/>
      <c r="P37" s="327"/>
      <c r="V37" s="327"/>
      <c r="W37" s="327"/>
      <c r="X37" s="327"/>
      <c r="Y37" s="327"/>
      <c r="Z37" s="327"/>
      <c r="AA37" s="327"/>
      <c r="BB37" s="327"/>
      <c r="BH37" s="327"/>
      <c r="BM37" s="326">
        <f t="shared" ref="BM37:BM44" si="40">SUMIFS($U$5:$U$18,$K$5:$K$18,B23)</f>
        <v>0</v>
      </c>
      <c r="BN37" s="326">
        <f t="shared" ref="BN37:BN44" si="41">SUMIFS($T$5:$T$18,$Q$5:$Q$18,B23)</f>
        <v>0</v>
      </c>
      <c r="BO37" s="326">
        <f>BM37+BN37</f>
        <v>0</v>
      </c>
      <c r="BP37" s="611" t="e">
        <f>BO37/$BO$45</f>
        <v>#DIV/0!</v>
      </c>
      <c r="BQ37" s="611" t="e">
        <f>100%-BQ38-BQ39-BQ40-BQ41-BQ42-BQ43</f>
        <v>#DIV/0!</v>
      </c>
      <c r="BR37" s="614" t="e">
        <f t="shared" ref="BR37:BR44" si="42">E23*$R$19</f>
        <v>#DIV/0!</v>
      </c>
      <c r="BS37" s="485" t="e">
        <f>100%-BS38-BS39-BS40-BS41-BS42-BS43-BS44</f>
        <v>#DIV/0!</v>
      </c>
      <c r="BT37" s="319"/>
      <c r="BU37" s="319"/>
      <c r="BV37" s="319"/>
      <c r="BW37" s="319"/>
      <c r="BX37" s="319"/>
      <c r="BY37" s="319"/>
      <c r="BZ37" s="319"/>
      <c r="CA37" s="319"/>
      <c r="CB37" s="319"/>
      <c r="CC37" s="319"/>
      <c r="CD37" s="319"/>
      <c r="CE37" s="319"/>
    </row>
    <row r="38" spans="2:83" s="326" customFormat="1">
      <c r="M38" s="327"/>
      <c r="N38" s="327"/>
      <c r="O38" s="327"/>
      <c r="P38" s="327"/>
      <c r="V38" s="327"/>
      <c r="W38" s="327"/>
      <c r="X38" s="327"/>
      <c r="Y38" s="327"/>
      <c r="Z38" s="327"/>
      <c r="AA38" s="327"/>
      <c r="BB38" s="327"/>
      <c r="BH38" s="327"/>
      <c r="BM38" s="326">
        <f t="shared" si="40"/>
        <v>0</v>
      </c>
      <c r="BN38" s="326">
        <f t="shared" si="41"/>
        <v>0</v>
      </c>
      <c r="BO38" s="326">
        <f t="shared" ref="BO38:BO44" si="43">BM38+BN38</f>
        <v>0</v>
      </c>
      <c r="BP38" s="611" t="e">
        <f>BO38/$BO$45</f>
        <v>#DIV/0!</v>
      </c>
      <c r="BQ38" s="611" t="e">
        <f>(E24+BP38)/2</f>
        <v>#DIV/0!</v>
      </c>
      <c r="BR38" s="614" t="e">
        <f t="shared" si="42"/>
        <v>#DIV/0!</v>
      </c>
      <c r="BS38" s="485" t="e">
        <f>BR38/$BR$45</f>
        <v>#DIV/0!</v>
      </c>
      <c r="BT38" s="319"/>
      <c r="BU38" s="319"/>
      <c r="BV38" s="319"/>
      <c r="BW38" s="319"/>
      <c r="BX38" s="319"/>
      <c r="BY38" s="319"/>
      <c r="BZ38" s="319"/>
      <c r="CA38" s="319"/>
      <c r="CB38" s="319"/>
      <c r="CC38" s="319"/>
      <c r="CD38" s="319"/>
      <c r="CE38" s="319"/>
    </row>
    <row r="39" spans="2:83" s="326" customFormat="1">
      <c r="B39" s="324"/>
      <c r="C39" s="324"/>
      <c r="D39" s="325"/>
      <c r="M39" s="327"/>
      <c r="N39" s="327"/>
      <c r="O39" s="327"/>
      <c r="P39" s="327"/>
      <c r="V39" s="327"/>
      <c r="W39" s="327"/>
      <c r="X39" s="327"/>
      <c r="Y39" s="327"/>
      <c r="Z39" s="327"/>
      <c r="AA39" s="327"/>
      <c r="BB39" s="327"/>
      <c r="BH39" s="327"/>
      <c r="BM39" s="326">
        <f t="shared" si="40"/>
        <v>0</v>
      </c>
      <c r="BN39" s="326">
        <f t="shared" si="41"/>
        <v>0</v>
      </c>
      <c r="BO39" s="326">
        <f t="shared" si="43"/>
        <v>0</v>
      </c>
      <c r="BP39" s="611" t="e">
        <f>BO39/$BO$45</f>
        <v>#DIV/0!</v>
      </c>
      <c r="BQ39" s="611" t="e">
        <f>(E25+BP39)/2</f>
        <v>#DIV/0!</v>
      </c>
      <c r="BR39" s="614" t="e">
        <f t="shared" si="42"/>
        <v>#DIV/0!</v>
      </c>
      <c r="BS39" s="485" t="e">
        <f>BR39/$BR$45</f>
        <v>#DIV/0!</v>
      </c>
      <c r="BT39" s="319"/>
      <c r="BU39" s="319"/>
      <c r="BV39" s="319"/>
      <c r="BW39" s="319"/>
      <c r="BX39" s="319"/>
      <c r="BY39" s="319"/>
      <c r="BZ39" s="319"/>
      <c r="CA39" s="319"/>
      <c r="CB39" s="319"/>
      <c r="CC39" s="319"/>
      <c r="CD39" s="319"/>
      <c r="CE39" s="319"/>
    </row>
    <row r="40" spans="2:83" s="326" customFormat="1">
      <c r="B40" s="324"/>
      <c r="C40" s="324"/>
      <c r="D40" s="325"/>
      <c r="M40" s="327"/>
      <c r="N40" s="327"/>
      <c r="O40" s="327"/>
      <c r="P40" s="327"/>
      <c r="V40" s="327"/>
      <c r="W40" s="327"/>
      <c r="X40" s="327"/>
      <c r="Y40" s="327"/>
      <c r="Z40" s="327"/>
      <c r="AA40" s="327"/>
      <c r="BB40" s="327"/>
      <c r="BH40" s="327"/>
      <c r="BM40" s="326">
        <f t="shared" si="40"/>
        <v>0</v>
      </c>
      <c r="BN40" s="326">
        <f t="shared" si="41"/>
        <v>0</v>
      </c>
      <c r="BO40" s="326">
        <f t="shared" si="43"/>
        <v>0</v>
      </c>
      <c r="BP40" s="611" t="e">
        <f>BO40/$BO$45</f>
        <v>#DIV/0!</v>
      </c>
      <c r="BQ40" s="611" t="e">
        <f>(E26+BP40)/2</f>
        <v>#DIV/0!</v>
      </c>
      <c r="BR40" s="614" t="e">
        <f t="shared" si="42"/>
        <v>#DIV/0!</v>
      </c>
      <c r="BS40" s="485" t="e">
        <f>BR40/$BR$45</f>
        <v>#DIV/0!</v>
      </c>
      <c r="BT40" s="319"/>
      <c r="BU40" s="319"/>
      <c r="BV40" s="319"/>
      <c r="BW40" s="319"/>
      <c r="BX40" s="319"/>
      <c r="BY40" s="319"/>
      <c r="BZ40" s="319"/>
      <c r="CA40" s="319"/>
      <c r="CB40" s="319"/>
      <c r="CC40" s="319"/>
      <c r="CD40" s="319"/>
      <c r="CE40" s="319"/>
    </row>
    <row r="41" spans="2:83" s="326" customFormat="1">
      <c r="B41" s="324"/>
      <c r="C41" s="324"/>
      <c r="D41" s="325"/>
      <c r="M41" s="327"/>
      <c r="N41" s="327"/>
      <c r="O41" s="327"/>
      <c r="P41" s="327"/>
      <c r="V41" s="327"/>
      <c r="W41" s="327"/>
      <c r="X41" s="327"/>
      <c r="Y41" s="327"/>
      <c r="Z41" s="327"/>
      <c r="AA41" s="327"/>
      <c r="BB41" s="327"/>
      <c r="BH41" s="327"/>
      <c r="BM41" s="326">
        <f t="shared" si="40"/>
        <v>0</v>
      </c>
      <c r="BN41" s="326">
        <f t="shared" si="41"/>
        <v>0</v>
      </c>
      <c r="BO41" s="326">
        <f t="shared" si="43"/>
        <v>0</v>
      </c>
      <c r="BP41" s="611" t="e">
        <f>BO41/$BO$45</f>
        <v>#DIV/0!</v>
      </c>
      <c r="BQ41" s="611" t="e">
        <f>(E27+BP41)/2</f>
        <v>#DIV/0!</v>
      </c>
      <c r="BR41" s="614" t="e">
        <f t="shared" si="42"/>
        <v>#DIV/0!</v>
      </c>
      <c r="BS41" s="485" t="e">
        <f>BR41/$BR$45</f>
        <v>#DIV/0!</v>
      </c>
      <c r="BT41" s="319"/>
      <c r="BU41" s="319"/>
      <c r="BV41" s="319"/>
      <c r="BW41" s="319"/>
      <c r="BX41" s="319"/>
      <c r="BY41" s="319"/>
      <c r="BZ41" s="319"/>
      <c r="CA41" s="319"/>
      <c r="CB41" s="319"/>
      <c r="CC41" s="319"/>
      <c r="CD41" s="319"/>
      <c r="CE41" s="319"/>
    </row>
    <row r="42" spans="2:83" s="326" customFormat="1">
      <c r="B42" s="324"/>
      <c r="C42" s="324"/>
      <c r="D42" s="325"/>
      <c r="M42" s="327"/>
      <c r="N42" s="327"/>
      <c r="O42" s="327"/>
      <c r="P42" s="327"/>
      <c r="V42" s="327"/>
      <c r="W42" s="327"/>
      <c r="X42" s="327"/>
      <c r="Y42" s="327"/>
      <c r="Z42" s="327"/>
      <c r="AA42" s="327"/>
      <c r="BB42" s="327"/>
      <c r="BH42" s="327"/>
      <c r="BM42" s="326">
        <f t="shared" si="40"/>
        <v>0</v>
      </c>
      <c r="BN42" s="326">
        <f t="shared" si="41"/>
        <v>0</v>
      </c>
      <c r="BO42" s="326">
        <f t="shared" si="43"/>
        <v>0</v>
      </c>
      <c r="BP42" s="611" t="e">
        <f t="shared" ref="BP42" si="44">BO42/$BO$45</f>
        <v>#DIV/0!</v>
      </c>
      <c r="BQ42" s="611" t="e">
        <f>(E28+BP42)</f>
        <v>#DIV/0!</v>
      </c>
      <c r="BR42" s="614" t="e">
        <f t="shared" si="42"/>
        <v>#DIV/0!</v>
      </c>
      <c r="BS42" s="485">
        <v>2.1000000000000001E-2</v>
      </c>
      <c r="BT42" s="319"/>
      <c r="BU42" s="319"/>
      <c r="BV42" s="319"/>
      <c r="BW42" s="319"/>
      <c r="BX42" s="319"/>
      <c r="BY42" s="319"/>
      <c r="BZ42" s="319"/>
      <c r="CA42" s="319"/>
      <c r="CB42" s="319"/>
      <c r="CC42" s="319"/>
      <c r="CD42" s="319"/>
      <c r="CE42" s="319"/>
    </row>
    <row r="43" spans="2:83" s="326" customFormat="1">
      <c r="B43" s="324"/>
      <c r="C43" s="324"/>
      <c r="D43" s="325"/>
      <c r="M43" s="327"/>
      <c r="N43" s="327"/>
      <c r="O43" s="327"/>
      <c r="P43" s="327"/>
      <c r="V43" s="327"/>
      <c r="W43" s="327"/>
      <c r="X43" s="327"/>
      <c r="Y43" s="327"/>
      <c r="Z43" s="327"/>
      <c r="AA43" s="327"/>
      <c r="BB43" s="327"/>
      <c r="BH43" s="327"/>
      <c r="BM43" s="326">
        <f t="shared" si="40"/>
        <v>0</v>
      </c>
      <c r="BN43" s="326">
        <f t="shared" si="41"/>
        <v>0</v>
      </c>
      <c r="BO43" s="326">
        <f t="shared" si="43"/>
        <v>0</v>
      </c>
      <c r="BP43" s="611" t="e">
        <f>BO43/$BO$45</f>
        <v>#DIV/0!</v>
      </c>
      <c r="BQ43" s="611" t="e">
        <f>(E29+BP43)/2</f>
        <v>#DIV/0!</v>
      </c>
      <c r="BR43" s="614">
        <f t="shared" si="42"/>
        <v>0</v>
      </c>
      <c r="BS43" s="485">
        <v>9.9000000000000008E-3</v>
      </c>
      <c r="BT43" s="319"/>
      <c r="BU43" s="319"/>
      <c r="BV43" s="319"/>
      <c r="BW43" s="319"/>
      <c r="BX43" s="319"/>
      <c r="BY43" s="319"/>
      <c r="BZ43" s="319"/>
      <c r="CA43" s="319"/>
      <c r="CB43" s="319"/>
      <c r="CC43" s="319"/>
      <c r="CD43" s="319"/>
      <c r="CE43" s="319"/>
    </row>
    <row r="44" spans="2:83" s="326" customFormat="1">
      <c r="B44" s="324"/>
      <c r="C44" s="324"/>
      <c r="D44" s="325"/>
      <c r="M44" s="327"/>
      <c r="N44" s="327"/>
      <c r="O44" s="327"/>
      <c r="P44" s="327"/>
      <c r="V44" s="327"/>
      <c r="W44" s="327"/>
      <c r="X44" s="327"/>
      <c r="Y44" s="327"/>
      <c r="Z44" s="327"/>
      <c r="AA44" s="327"/>
      <c r="BB44" s="327"/>
      <c r="BH44" s="327"/>
      <c r="BM44" s="326">
        <f t="shared" si="40"/>
        <v>0</v>
      </c>
      <c r="BN44" s="326">
        <f t="shared" si="41"/>
        <v>0</v>
      </c>
      <c r="BO44" s="326">
        <f t="shared" si="43"/>
        <v>0</v>
      </c>
      <c r="BP44" s="611" t="e">
        <f>BO44/$BO$45</f>
        <v>#DIV/0!</v>
      </c>
      <c r="BQ44" s="611" t="e">
        <f>(E30+BP44)/2</f>
        <v>#DIV/0!</v>
      </c>
      <c r="BR44" s="614" t="e">
        <f t="shared" si="42"/>
        <v>#DIV/0!</v>
      </c>
      <c r="BS44" s="485">
        <v>0</v>
      </c>
      <c r="BT44" s="319"/>
      <c r="BU44" s="319"/>
      <c r="BV44" s="319"/>
      <c r="BW44" s="319"/>
      <c r="BX44" s="319"/>
      <c r="BY44" s="319"/>
      <c r="BZ44" s="319"/>
      <c r="CA44" s="319"/>
      <c r="CB44" s="319"/>
      <c r="CC44" s="319"/>
      <c r="CD44" s="319"/>
      <c r="CE44" s="319"/>
    </row>
    <row r="45" spans="2:83" s="326" customFormat="1">
      <c r="B45" s="324"/>
      <c r="C45" s="324"/>
      <c r="D45" s="325"/>
      <c r="M45" s="327"/>
      <c r="N45" s="327"/>
      <c r="O45" s="327"/>
      <c r="P45" s="327"/>
      <c r="V45" s="327"/>
      <c r="W45" s="327"/>
      <c r="X45" s="327"/>
      <c r="Y45" s="327"/>
      <c r="Z45" s="327"/>
      <c r="AA45" s="327"/>
      <c r="BB45" s="327"/>
      <c r="BH45" s="327"/>
      <c r="BM45" s="326">
        <f t="shared" ref="BM45:BS45" si="45">SUM(BM37:BM44)</f>
        <v>0</v>
      </c>
      <c r="BN45" s="326">
        <f t="shared" si="45"/>
        <v>0</v>
      </c>
      <c r="BO45" s="326">
        <f t="shared" si="45"/>
        <v>0</v>
      </c>
      <c r="BP45" s="611" t="e">
        <f t="shared" si="45"/>
        <v>#DIV/0!</v>
      </c>
      <c r="BQ45" s="611" t="e">
        <f t="shared" si="45"/>
        <v>#DIV/0!</v>
      </c>
      <c r="BR45" s="614" t="e">
        <f t="shared" si="45"/>
        <v>#DIV/0!</v>
      </c>
      <c r="BS45" s="484" t="e">
        <f t="shared" si="45"/>
        <v>#DIV/0!</v>
      </c>
      <c r="BT45" s="319"/>
      <c r="BU45" s="319"/>
      <c r="BV45" s="319"/>
      <c r="BW45" s="319"/>
      <c r="BX45" s="319"/>
      <c r="BY45" s="319"/>
      <c r="BZ45" s="319"/>
      <c r="CA45" s="319"/>
      <c r="CB45" s="319"/>
      <c r="CC45" s="319"/>
      <c r="CD45" s="319"/>
      <c r="CE45" s="319"/>
    </row>
    <row r="46" spans="2:83" s="326" customFormat="1">
      <c r="B46" s="324"/>
      <c r="C46" s="324"/>
      <c r="D46" s="325"/>
      <c r="M46" s="327"/>
      <c r="N46" s="327"/>
      <c r="O46" s="327"/>
      <c r="P46" s="327"/>
      <c r="V46" s="327"/>
      <c r="W46" s="327"/>
      <c r="X46" s="327"/>
      <c r="Y46" s="327"/>
      <c r="Z46" s="327"/>
      <c r="AA46" s="327"/>
      <c r="BB46" s="327"/>
      <c r="BH46" s="327"/>
      <c r="BJ46" s="319"/>
      <c r="BK46" s="319"/>
      <c r="BL46" s="319"/>
      <c r="BM46" s="319"/>
      <c r="BN46" s="319"/>
      <c r="BO46" s="319"/>
      <c r="BP46" s="319"/>
      <c r="BQ46" s="319"/>
      <c r="BR46" s="319"/>
      <c r="BS46" s="319"/>
      <c r="BT46" s="319"/>
      <c r="BU46" s="319"/>
      <c r="BV46" s="319"/>
      <c r="BW46" s="319"/>
      <c r="BX46" s="319"/>
      <c r="BY46" s="319"/>
      <c r="BZ46" s="319"/>
      <c r="CA46" s="319"/>
      <c r="CB46" s="319"/>
      <c r="CC46" s="319"/>
      <c r="CD46" s="319"/>
      <c r="CE46" s="319"/>
    </row>
    <row r="47" spans="2:83" s="326" customFormat="1">
      <c r="B47" s="324"/>
      <c r="C47" s="324"/>
      <c r="D47" s="325"/>
      <c r="M47" s="327"/>
      <c r="N47" s="327"/>
      <c r="O47" s="327"/>
      <c r="P47" s="327"/>
      <c r="V47" s="327"/>
      <c r="W47" s="327"/>
      <c r="X47" s="327"/>
      <c r="Y47" s="327"/>
      <c r="Z47" s="327"/>
      <c r="AA47" s="327"/>
      <c r="BB47" s="327"/>
      <c r="BH47" s="327"/>
      <c r="BJ47" s="319"/>
      <c r="BK47" s="319"/>
      <c r="BL47" s="319"/>
      <c r="BM47" s="319"/>
      <c r="BN47" s="319"/>
      <c r="BO47" s="319"/>
      <c r="BP47" s="485" t="e">
        <f>BN42/D31</f>
        <v>#DIV/0!</v>
      </c>
      <c r="BQ47" s="319"/>
      <c r="BR47" s="319"/>
      <c r="BS47" s="319"/>
      <c r="BT47" s="319"/>
      <c r="BU47" s="319"/>
      <c r="BV47" s="319"/>
      <c r="BW47" s="319"/>
      <c r="BX47" s="319"/>
      <c r="BY47" s="319"/>
      <c r="BZ47" s="319"/>
      <c r="CA47" s="319"/>
      <c r="CB47" s="319"/>
      <c r="CC47" s="319"/>
      <c r="CD47" s="319"/>
      <c r="CE47" s="319"/>
    </row>
    <row r="48" spans="2:83" s="326" customFormat="1">
      <c r="B48" s="324"/>
      <c r="C48" s="324"/>
      <c r="D48" s="325"/>
      <c r="M48" s="327"/>
      <c r="N48" s="327"/>
      <c r="O48" s="327"/>
      <c r="P48" s="327"/>
      <c r="V48" s="327"/>
      <c r="W48" s="327"/>
      <c r="X48" s="327"/>
      <c r="Y48" s="327"/>
      <c r="Z48" s="327"/>
      <c r="AA48" s="327"/>
      <c r="BB48" s="327"/>
      <c r="BH48" s="327"/>
      <c r="BJ48" s="319"/>
      <c r="BK48" s="319"/>
      <c r="BL48" s="319" t="s">
        <v>385</v>
      </c>
      <c r="BM48" s="319">
        <f>108*512*3.6/1000</f>
        <v>199.06560000000002</v>
      </c>
      <c r="BN48" s="530">
        <f>BM48/BM49</f>
        <v>1</v>
      </c>
      <c r="BO48" s="319" t="e">
        <f>BO42/D31</f>
        <v>#DIV/0!</v>
      </c>
      <c r="BP48" s="319"/>
      <c r="BQ48" s="319"/>
      <c r="BR48" s="319"/>
      <c r="BS48" s="319"/>
      <c r="BT48" s="319"/>
      <c r="BU48" s="319"/>
      <c r="BV48" s="319"/>
      <c r="BW48" s="319"/>
      <c r="BX48" s="319"/>
      <c r="BY48" s="319"/>
      <c r="BZ48" s="319"/>
      <c r="CA48" s="319"/>
      <c r="CB48" s="319"/>
      <c r="CC48" s="319"/>
      <c r="CD48" s="319"/>
      <c r="CE48" s="319"/>
    </row>
    <row r="49" spans="2:83" s="326" customFormat="1">
      <c r="B49" s="324"/>
      <c r="C49" s="324"/>
      <c r="D49" s="325"/>
      <c r="M49" s="327"/>
      <c r="N49" s="327"/>
      <c r="O49" s="327"/>
      <c r="P49" s="327"/>
      <c r="V49" s="327"/>
      <c r="W49" s="327"/>
      <c r="X49" s="327"/>
      <c r="Y49" s="327"/>
      <c r="Z49" s="327"/>
      <c r="AA49" s="327"/>
      <c r="BB49" s="327"/>
      <c r="BH49" s="327"/>
      <c r="BJ49" s="319"/>
      <c r="BK49" s="319"/>
      <c r="BL49" s="319"/>
      <c r="BM49" s="319">
        <f>BM48+D31</f>
        <v>199.06560000000002</v>
      </c>
      <c r="BN49" s="319"/>
      <c r="BO49" s="319"/>
      <c r="BP49" s="319"/>
      <c r="BQ49" s="319"/>
      <c r="BR49" s="319"/>
      <c r="BS49" s="319"/>
      <c r="BT49" s="319"/>
      <c r="BU49" s="319"/>
      <c r="BV49" s="319"/>
      <c r="BW49" s="319"/>
      <c r="BX49" s="319"/>
      <c r="BY49" s="319"/>
      <c r="BZ49" s="319"/>
      <c r="CA49" s="319"/>
      <c r="CB49" s="319"/>
      <c r="CC49" s="319"/>
      <c r="CD49" s="319"/>
      <c r="CE49" s="319"/>
    </row>
    <row r="50" spans="2:83" s="326" customFormat="1">
      <c r="B50" s="324"/>
      <c r="C50" s="324"/>
      <c r="D50" s="325"/>
      <c r="M50" s="327"/>
      <c r="N50" s="327"/>
      <c r="O50" s="327"/>
      <c r="P50" s="327"/>
      <c r="V50" s="327"/>
      <c r="W50" s="327"/>
      <c r="X50" s="327"/>
      <c r="Y50" s="327"/>
      <c r="Z50" s="327"/>
      <c r="AA50" s="327"/>
      <c r="BB50" s="327"/>
      <c r="BH50" s="327"/>
      <c r="BJ50" s="319"/>
      <c r="BK50" s="319"/>
      <c r="BL50" s="319"/>
      <c r="BM50" s="319"/>
      <c r="BN50" s="319"/>
      <c r="BO50" s="319"/>
      <c r="BP50" s="319"/>
      <c r="BQ50" s="319"/>
      <c r="BR50" s="319"/>
      <c r="BS50" s="319"/>
      <c r="BT50" s="319"/>
      <c r="BU50" s="319"/>
      <c r="BV50" s="319"/>
      <c r="BW50" s="319"/>
      <c r="BX50" s="319"/>
      <c r="BY50" s="319"/>
      <c r="BZ50" s="319"/>
      <c r="CA50" s="319"/>
      <c r="CB50" s="319"/>
      <c r="CC50" s="319"/>
      <c r="CD50" s="319"/>
      <c r="CE50" s="319"/>
    </row>
    <row r="51" spans="2:83" s="326" customFormat="1">
      <c r="B51" s="324"/>
      <c r="C51" s="324"/>
      <c r="D51" s="325"/>
      <c r="M51" s="327"/>
      <c r="N51" s="327"/>
      <c r="O51" s="327"/>
      <c r="P51" s="327"/>
      <c r="V51" s="327"/>
      <c r="W51" s="327"/>
      <c r="X51" s="327"/>
      <c r="Y51" s="327"/>
      <c r="Z51" s="327"/>
      <c r="AA51" s="327"/>
      <c r="BB51" s="327"/>
      <c r="BH51" s="327"/>
      <c r="BJ51" s="319"/>
      <c r="BK51" s="319"/>
      <c r="BL51" s="319"/>
      <c r="BM51" s="319"/>
      <c r="BN51" s="319"/>
      <c r="BO51" s="319"/>
      <c r="BP51" s="319"/>
      <c r="BQ51" s="319"/>
      <c r="BR51" s="319"/>
      <c r="BS51" s="319"/>
      <c r="BT51" s="319"/>
      <c r="BU51" s="319"/>
      <c r="BV51" s="319"/>
      <c r="BW51" s="319"/>
      <c r="BX51" s="319"/>
      <c r="BY51" s="319"/>
      <c r="BZ51" s="319"/>
      <c r="CA51" s="319"/>
      <c r="CB51" s="319"/>
      <c r="CC51" s="319"/>
      <c r="CD51" s="319"/>
      <c r="CE51" s="319"/>
    </row>
    <row r="52" spans="2:83" s="326" customFormat="1" ht="6.6">
      <c r="B52" s="324"/>
      <c r="C52" s="324"/>
      <c r="D52" s="325"/>
      <c r="M52" s="327"/>
      <c r="N52" s="327"/>
      <c r="O52" s="327"/>
      <c r="P52" s="327"/>
      <c r="V52" s="327"/>
      <c r="W52" s="327"/>
      <c r="X52" s="327"/>
      <c r="Y52" s="327"/>
      <c r="Z52" s="327"/>
      <c r="AA52" s="327"/>
      <c r="BB52" s="327"/>
      <c r="BH52" s="327"/>
    </row>
    <row r="53" spans="2:83" s="326" customFormat="1" ht="6.6">
      <c r="B53" s="324"/>
      <c r="C53" s="324"/>
      <c r="D53" s="325"/>
      <c r="M53" s="327"/>
      <c r="N53" s="327"/>
      <c r="O53" s="327"/>
      <c r="P53" s="327"/>
      <c r="V53" s="327"/>
      <c r="W53" s="327"/>
      <c r="X53" s="327"/>
      <c r="Y53" s="327"/>
      <c r="Z53" s="327"/>
      <c r="AA53" s="327"/>
      <c r="BB53" s="327"/>
      <c r="BH53" s="327"/>
    </row>
    <row r="54" spans="2:83" s="326" customFormat="1">
      <c r="B54" s="324"/>
      <c r="C54" s="324"/>
      <c r="D54" s="325"/>
      <c r="M54" s="327"/>
      <c r="N54" s="327"/>
      <c r="O54" s="327"/>
      <c r="P54" s="327"/>
      <c r="V54" s="327"/>
      <c r="W54" s="327"/>
      <c r="X54" s="327"/>
      <c r="Y54" s="327"/>
      <c r="Z54" s="327"/>
      <c r="AA54" s="327"/>
      <c r="BB54" s="327"/>
      <c r="BH54" s="327"/>
      <c r="BJ54" s="319"/>
      <c r="BK54" s="319"/>
      <c r="BL54" s="319"/>
      <c r="BM54" s="319"/>
      <c r="BN54" s="319"/>
      <c r="BO54" s="319"/>
      <c r="BP54" s="319"/>
      <c r="BQ54" s="319"/>
      <c r="BR54" s="319"/>
      <c r="BS54" s="319"/>
      <c r="BT54" s="319"/>
      <c r="BU54" s="319"/>
      <c r="BV54" s="319"/>
      <c r="BW54" s="319"/>
      <c r="BX54" s="319"/>
      <c r="BY54" s="319"/>
      <c r="BZ54" s="319"/>
      <c r="CA54" s="319"/>
      <c r="CB54" s="319"/>
      <c r="CC54" s="319"/>
      <c r="CD54" s="319"/>
      <c r="CE54" s="319"/>
    </row>
    <row r="55" spans="2:83" s="326" customFormat="1">
      <c r="B55" s="324"/>
      <c r="C55" s="324"/>
      <c r="D55" s="325"/>
      <c r="M55" s="327"/>
      <c r="N55" s="327"/>
      <c r="O55" s="327"/>
      <c r="P55" s="327"/>
      <c r="V55" s="327"/>
      <c r="W55" s="327"/>
      <c r="X55" s="327"/>
      <c r="Y55" s="327"/>
      <c r="Z55" s="327"/>
      <c r="AA55" s="327"/>
      <c r="BB55" s="327"/>
      <c r="BH55" s="327"/>
      <c r="BJ55" s="319"/>
      <c r="BK55" s="319"/>
      <c r="BL55" s="319"/>
      <c r="BM55" s="319"/>
      <c r="BN55" s="319"/>
      <c r="BO55" s="319"/>
      <c r="BP55" s="319"/>
      <c r="BQ55" s="319"/>
      <c r="BR55" s="319"/>
      <c r="BS55" s="319"/>
      <c r="BT55" s="319"/>
      <c r="BU55" s="319"/>
      <c r="BV55" s="319"/>
      <c r="BW55" s="319"/>
      <c r="BX55" s="319"/>
      <c r="BY55" s="319"/>
      <c r="BZ55" s="319"/>
      <c r="CA55" s="319"/>
      <c r="CB55" s="319"/>
      <c r="CC55" s="319"/>
      <c r="CD55" s="319"/>
      <c r="CE55" s="319"/>
    </row>
    <row r="56" spans="2:83" s="326" customFormat="1">
      <c r="B56" s="324"/>
      <c r="C56" s="324"/>
      <c r="D56" s="325"/>
      <c r="M56" s="327"/>
      <c r="N56" s="327"/>
      <c r="O56" s="327"/>
      <c r="P56" s="327"/>
      <c r="V56" s="327"/>
      <c r="W56" s="327"/>
      <c r="X56" s="327"/>
      <c r="Y56" s="327"/>
      <c r="Z56" s="327"/>
      <c r="AA56" s="327"/>
      <c r="BB56" s="327"/>
      <c r="BH56" s="327"/>
      <c r="BJ56" s="319"/>
      <c r="BK56" s="319"/>
      <c r="BL56" s="319"/>
      <c r="BM56" s="319"/>
      <c r="BN56" s="319"/>
      <c r="BO56" s="319"/>
      <c r="BP56" s="319"/>
      <c r="BQ56" s="319"/>
      <c r="BR56" s="319"/>
      <c r="BS56" s="319"/>
      <c r="BT56" s="319"/>
      <c r="BU56" s="319"/>
      <c r="BV56" s="319"/>
      <c r="BW56" s="319"/>
      <c r="BX56" s="319"/>
      <c r="BY56" s="319"/>
      <c r="BZ56" s="319"/>
      <c r="CA56" s="319"/>
      <c r="CB56" s="319"/>
      <c r="CC56" s="319"/>
      <c r="CD56" s="319"/>
      <c r="CE56" s="319"/>
    </row>
    <row r="57" spans="2:83" s="326" customFormat="1">
      <c r="B57" s="324"/>
      <c r="C57" s="324"/>
      <c r="D57" s="325"/>
      <c r="M57" s="327"/>
      <c r="N57" s="327"/>
      <c r="O57" s="327"/>
      <c r="P57" s="327"/>
      <c r="V57" s="327"/>
      <c r="W57" s="327"/>
      <c r="X57" s="327"/>
      <c r="Y57" s="327"/>
      <c r="Z57" s="327"/>
      <c r="AA57" s="327"/>
      <c r="BB57" s="327"/>
      <c r="BH57" s="327"/>
      <c r="BJ57" s="319"/>
      <c r="BK57" s="319"/>
      <c r="BL57" s="319"/>
      <c r="BM57" s="319"/>
      <c r="BN57" s="319"/>
      <c r="BO57" s="319"/>
      <c r="BP57" s="319"/>
      <c r="BQ57" s="319"/>
      <c r="BR57" s="319"/>
      <c r="BS57" s="319"/>
      <c r="BT57" s="319"/>
      <c r="BU57" s="319"/>
      <c r="BV57" s="319"/>
      <c r="BW57" s="319"/>
      <c r="BX57" s="319"/>
      <c r="BY57" s="319"/>
      <c r="BZ57" s="319"/>
      <c r="CA57" s="319"/>
      <c r="CB57" s="319"/>
      <c r="CC57" s="319"/>
      <c r="CD57" s="319"/>
      <c r="CE57" s="319"/>
    </row>
    <row r="58" spans="2:83" s="326" customFormat="1">
      <c r="B58" s="324"/>
      <c r="C58" s="324"/>
      <c r="D58" s="325"/>
      <c r="M58" s="327"/>
      <c r="N58" s="327"/>
      <c r="O58" s="327"/>
      <c r="P58" s="327"/>
      <c r="V58" s="327"/>
      <c r="W58" s="327"/>
      <c r="X58" s="327"/>
      <c r="Y58" s="327"/>
      <c r="Z58" s="327"/>
      <c r="AA58" s="327"/>
      <c r="BB58" s="327"/>
      <c r="BH58" s="327"/>
      <c r="BJ58" s="319"/>
      <c r="BK58" s="319"/>
      <c r="BL58" s="319"/>
      <c r="BM58" s="319"/>
      <c r="BN58" s="319"/>
      <c r="BO58" s="319"/>
      <c r="BP58" s="319"/>
      <c r="BQ58" s="319"/>
      <c r="BR58" s="319"/>
      <c r="BS58" s="319"/>
      <c r="BT58" s="319"/>
      <c r="BU58" s="319"/>
      <c r="BV58" s="319"/>
      <c r="BW58" s="319"/>
      <c r="BX58" s="319"/>
      <c r="BY58" s="319"/>
      <c r="BZ58" s="319"/>
      <c r="CA58" s="319"/>
      <c r="CB58" s="319"/>
      <c r="CC58" s="319"/>
      <c r="CD58" s="319"/>
      <c r="CE58" s="319"/>
    </row>
    <row r="59" spans="2:83" s="326" customFormat="1">
      <c r="B59" s="324"/>
      <c r="C59" s="324"/>
      <c r="D59" s="325"/>
      <c r="M59" s="327"/>
      <c r="N59" s="327"/>
      <c r="O59" s="327"/>
      <c r="P59" s="327"/>
      <c r="V59" s="327"/>
      <c r="W59" s="327"/>
      <c r="X59" s="327"/>
      <c r="Y59" s="327"/>
      <c r="Z59" s="327"/>
      <c r="AA59" s="327"/>
      <c r="BB59" s="327"/>
      <c r="BH59" s="327"/>
      <c r="BJ59" s="319"/>
      <c r="BK59" s="319"/>
      <c r="BL59" s="319"/>
      <c r="BM59" s="319"/>
      <c r="BN59" s="319"/>
      <c r="BO59" s="319"/>
      <c r="BP59" s="319"/>
      <c r="BQ59" s="319"/>
      <c r="BR59" s="319"/>
      <c r="BS59" s="319"/>
      <c r="BT59" s="319"/>
      <c r="BU59" s="319"/>
      <c r="BV59" s="319"/>
      <c r="BW59" s="319"/>
      <c r="BX59" s="319"/>
      <c r="BY59" s="319"/>
      <c r="BZ59" s="319"/>
      <c r="CA59" s="319"/>
      <c r="CB59" s="319"/>
      <c r="CC59" s="319"/>
      <c r="CD59" s="319"/>
      <c r="CE59" s="319"/>
    </row>
    <row r="60" spans="2:83" s="326" customFormat="1">
      <c r="B60" s="324"/>
      <c r="C60" s="324"/>
      <c r="D60" s="325"/>
      <c r="M60" s="327"/>
      <c r="N60" s="327"/>
      <c r="O60" s="327"/>
      <c r="P60" s="327"/>
      <c r="V60" s="327"/>
      <c r="W60" s="327"/>
      <c r="X60" s="327"/>
      <c r="Y60" s="327"/>
      <c r="Z60" s="327"/>
      <c r="AA60" s="327"/>
      <c r="BB60" s="327"/>
      <c r="BH60" s="327"/>
      <c r="BJ60" s="319"/>
      <c r="BK60" s="319"/>
      <c r="BL60" s="319"/>
      <c r="BM60" s="319"/>
      <c r="BN60" s="319"/>
      <c r="BO60" s="319"/>
      <c r="BP60" s="319"/>
      <c r="BQ60" s="319"/>
      <c r="BR60" s="319"/>
      <c r="BS60" s="319"/>
      <c r="BT60" s="319"/>
      <c r="BU60" s="319"/>
      <c r="BV60" s="319"/>
      <c r="BW60" s="319"/>
      <c r="BX60" s="319"/>
      <c r="BY60" s="319"/>
      <c r="BZ60" s="319"/>
      <c r="CA60" s="319"/>
      <c r="CB60" s="319"/>
      <c r="CC60" s="319"/>
      <c r="CD60" s="319"/>
      <c r="CE60" s="319"/>
    </row>
    <row r="61" spans="2:83" s="326" customFormat="1">
      <c r="B61" s="324"/>
      <c r="C61" s="324"/>
      <c r="D61" s="325"/>
      <c r="M61" s="327"/>
      <c r="N61" s="327"/>
      <c r="O61" s="327"/>
      <c r="P61" s="327"/>
      <c r="V61" s="327"/>
      <c r="W61" s="327"/>
      <c r="X61" s="327"/>
      <c r="Y61" s="327"/>
      <c r="Z61" s="327"/>
      <c r="AA61" s="327"/>
      <c r="BB61" s="327"/>
      <c r="BH61" s="327"/>
      <c r="BJ61" s="319"/>
      <c r="BK61" s="319"/>
      <c r="BL61" s="319"/>
      <c r="BM61" s="319"/>
      <c r="BN61" s="319"/>
      <c r="BO61" s="319"/>
      <c r="BP61" s="319"/>
      <c r="BQ61" s="319"/>
      <c r="BR61" s="319"/>
      <c r="BS61" s="319"/>
      <c r="BT61" s="319"/>
      <c r="BU61" s="319"/>
      <c r="BV61" s="319"/>
      <c r="BW61" s="319"/>
      <c r="BX61" s="319"/>
      <c r="BY61" s="319"/>
      <c r="BZ61" s="319"/>
      <c r="CA61" s="319"/>
      <c r="CB61" s="319"/>
      <c r="CC61" s="319"/>
      <c r="CD61" s="319"/>
      <c r="CE61" s="319"/>
    </row>
    <row r="62" spans="2:83" s="326" customFormat="1">
      <c r="B62" s="324"/>
      <c r="C62" s="324"/>
      <c r="D62" s="325"/>
      <c r="M62" s="327"/>
      <c r="N62" s="327"/>
      <c r="O62" s="327"/>
      <c r="P62" s="327"/>
      <c r="V62" s="327"/>
      <c r="W62" s="327"/>
      <c r="X62" s="327"/>
      <c r="Y62" s="327"/>
      <c r="Z62" s="327"/>
      <c r="AA62" s="327"/>
      <c r="BB62" s="327"/>
      <c r="BH62" s="327"/>
      <c r="BJ62" s="319"/>
      <c r="BK62" s="319"/>
      <c r="BL62" s="319"/>
      <c r="BM62" s="319"/>
      <c r="BN62" s="319"/>
      <c r="BO62" s="319"/>
      <c r="BP62" s="319"/>
      <c r="BQ62" s="319"/>
      <c r="BR62" s="319"/>
      <c r="BS62" s="319"/>
      <c r="BT62" s="319"/>
      <c r="BU62" s="319"/>
      <c r="BV62" s="319"/>
      <c r="BW62" s="319"/>
      <c r="BX62" s="319"/>
      <c r="BY62" s="319"/>
      <c r="BZ62" s="319"/>
      <c r="CA62" s="319"/>
      <c r="CB62" s="319"/>
      <c r="CC62" s="319"/>
      <c r="CD62" s="319"/>
      <c r="CE62" s="319"/>
    </row>
    <row r="63" spans="2:83" s="326" customFormat="1">
      <c r="B63" s="324"/>
      <c r="C63" s="324"/>
      <c r="D63" s="325"/>
      <c r="M63" s="327"/>
      <c r="N63" s="327"/>
      <c r="O63" s="327"/>
      <c r="P63" s="327"/>
      <c r="V63" s="327"/>
      <c r="W63" s="327"/>
      <c r="X63" s="327"/>
      <c r="Y63" s="327"/>
      <c r="Z63" s="327"/>
      <c r="AA63" s="327"/>
      <c r="BB63" s="327"/>
      <c r="BH63" s="327"/>
      <c r="BJ63" s="319"/>
      <c r="BK63" s="319"/>
      <c r="BL63" s="319"/>
      <c r="BM63" s="319"/>
      <c r="BN63" s="319"/>
      <c r="BO63" s="319"/>
      <c r="BP63" s="319"/>
      <c r="BQ63" s="319"/>
      <c r="BR63" s="319"/>
      <c r="BS63" s="319"/>
      <c r="BT63" s="319"/>
      <c r="BU63" s="319"/>
      <c r="BV63" s="319"/>
      <c r="BW63" s="319"/>
      <c r="BX63" s="319"/>
      <c r="BY63" s="319"/>
      <c r="BZ63" s="319"/>
      <c r="CA63" s="319"/>
      <c r="CB63" s="319"/>
      <c r="CC63" s="319"/>
      <c r="CD63" s="319"/>
      <c r="CE63" s="319"/>
    </row>
    <row r="64" spans="2:83" s="326" customFormat="1">
      <c r="B64" s="324"/>
      <c r="C64" s="324"/>
      <c r="D64" s="325"/>
      <c r="M64" s="327"/>
      <c r="N64" s="327"/>
      <c r="O64" s="327"/>
      <c r="P64" s="327"/>
      <c r="V64" s="327"/>
      <c r="W64" s="327"/>
      <c r="X64" s="327"/>
      <c r="Y64" s="327"/>
      <c r="Z64" s="327"/>
      <c r="AA64" s="327"/>
      <c r="BB64" s="327"/>
      <c r="BH64" s="327"/>
      <c r="BJ64" s="319"/>
      <c r="BK64" s="319"/>
      <c r="BL64" s="319"/>
      <c r="BM64" s="319"/>
      <c r="BN64" s="319"/>
      <c r="BO64" s="319"/>
      <c r="BP64" s="319"/>
      <c r="BQ64" s="319"/>
      <c r="BR64" s="319"/>
      <c r="BS64" s="319"/>
      <c r="BT64" s="319"/>
      <c r="BU64" s="319"/>
      <c r="BV64" s="319"/>
      <c r="BW64" s="319"/>
      <c r="BX64" s="319"/>
      <c r="BY64" s="319"/>
      <c r="BZ64" s="319"/>
      <c r="CA64" s="319"/>
      <c r="CB64" s="319"/>
      <c r="CC64" s="319"/>
      <c r="CD64" s="319"/>
      <c r="CE64" s="319"/>
    </row>
    <row r="65" spans="2:83" s="326" customFormat="1">
      <c r="B65" s="324"/>
      <c r="C65" s="324"/>
      <c r="D65" s="325"/>
      <c r="M65" s="327"/>
      <c r="N65" s="327"/>
      <c r="O65" s="327"/>
      <c r="P65" s="327"/>
      <c r="V65" s="327"/>
      <c r="W65" s="327"/>
      <c r="X65" s="327"/>
      <c r="Y65" s="327"/>
      <c r="Z65" s="327"/>
      <c r="AA65" s="327"/>
      <c r="BB65" s="327"/>
      <c r="BH65" s="327"/>
      <c r="BJ65" s="319"/>
      <c r="BK65" s="319"/>
      <c r="BL65" s="319"/>
      <c r="BM65" s="319"/>
      <c r="BN65" s="319"/>
      <c r="BO65" s="319"/>
      <c r="BP65" s="319"/>
      <c r="BQ65" s="319"/>
      <c r="BR65" s="319"/>
      <c r="BS65" s="319"/>
      <c r="BT65" s="319"/>
      <c r="BU65" s="319"/>
      <c r="BV65" s="319"/>
      <c r="BW65" s="319"/>
      <c r="BX65" s="319"/>
      <c r="BY65" s="319"/>
      <c r="BZ65" s="319"/>
      <c r="CA65" s="319"/>
      <c r="CB65" s="319"/>
      <c r="CC65" s="319"/>
      <c r="CD65" s="319"/>
      <c r="CE65" s="319"/>
    </row>
    <row r="66" spans="2:83" s="326" customFormat="1">
      <c r="B66" s="324"/>
      <c r="C66" s="324"/>
      <c r="D66" s="325"/>
      <c r="M66" s="327"/>
      <c r="N66" s="327"/>
      <c r="O66" s="327"/>
      <c r="P66" s="327"/>
      <c r="V66" s="327"/>
      <c r="W66" s="327"/>
      <c r="X66" s="327"/>
      <c r="Y66" s="327"/>
      <c r="Z66" s="327"/>
      <c r="AA66" s="327"/>
      <c r="BB66" s="327"/>
      <c r="BH66" s="327"/>
      <c r="BJ66" s="319"/>
      <c r="BK66" s="319"/>
      <c r="BL66" s="319"/>
      <c r="BM66" s="319"/>
      <c r="BN66" s="319"/>
      <c r="BO66" s="319"/>
      <c r="BP66" s="319"/>
      <c r="BQ66" s="319"/>
      <c r="BR66" s="319"/>
      <c r="BS66" s="319"/>
      <c r="BT66" s="319"/>
      <c r="BU66" s="319"/>
      <c r="BV66" s="319"/>
      <c r="BW66" s="319"/>
      <c r="BX66" s="319"/>
      <c r="BY66" s="319"/>
      <c r="BZ66" s="319"/>
      <c r="CA66" s="319"/>
      <c r="CB66" s="319"/>
      <c r="CC66" s="319"/>
      <c r="CD66" s="319"/>
      <c r="CE66" s="319"/>
    </row>
    <row r="67" spans="2:83" s="326" customFormat="1">
      <c r="B67" s="324"/>
      <c r="C67" s="324"/>
      <c r="D67" s="325"/>
      <c r="M67" s="327"/>
      <c r="N67" s="327"/>
      <c r="O67" s="327"/>
      <c r="P67" s="327"/>
      <c r="V67" s="327"/>
      <c r="W67" s="327"/>
      <c r="X67" s="327"/>
      <c r="Y67" s="327"/>
      <c r="Z67" s="327"/>
      <c r="AA67" s="327"/>
      <c r="BB67" s="327"/>
      <c r="BH67" s="327"/>
      <c r="BJ67" s="319"/>
      <c r="BK67" s="319"/>
      <c r="BL67" s="319"/>
      <c r="BM67" s="319"/>
      <c r="BN67" s="319"/>
      <c r="BO67" s="319"/>
      <c r="BP67" s="319"/>
      <c r="BQ67" s="319"/>
      <c r="BR67" s="319"/>
      <c r="BS67" s="319"/>
      <c r="BT67" s="319"/>
      <c r="BU67" s="319"/>
      <c r="BV67" s="319"/>
      <c r="BW67" s="319"/>
      <c r="BX67" s="319"/>
      <c r="BY67" s="319"/>
      <c r="BZ67" s="319"/>
      <c r="CA67" s="319"/>
      <c r="CB67" s="319"/>
      <c r="CC67" s="319"/>
      <c r="CD67" s="319"/>
      <c r="CE67" s="319"/>
    </row>
    <row r="68" spans="2:83" s="326" customFormat="1">
      <c r="B68" s="324"/>
      <c r="C68" s="324"/>
      <c r="D68" s="325"/>
      <c r="M68" s="327"/>
      <c r="N68" s="327"/>
      <c r="O68" s="327"/>
      <c r="P68" s="327"/>
      <c r="V68" s="327"/>
      <c r="W68" s="327"/>
      <c r="X68" s="327"/>
      <c r="Y68" s="327"/>
      <c r="Z68" s="327"/>
      <c r="AA68" s="327"/>
      <c r="BB68" s="327"/>
      <c r="BH68" s="327"/>
      <c r="BJ68" s="319"/>
      <c r="BK68" s="319"/>
      <c r="BL68" s="319"/>
      <c r="BM68" s="319"/>
      <c r="BN68" s="319"/>
      <c r="BO68" s="319"/>
      <c r="BP68" s="319"/>
      <c r="BQ68" s="319"/>
      <c r="BR68" s="319"/>
      <c r="BS68" s="319"/>
      <c r="BT68" s="319"/>
      <c r="BU68" s="319"/>
      <c r="BV68" s="319"/>
      <c r="BW68" s="319"/>
      <c r="BX68" s="319"/>
      <c r="BY68" s="319"/>
      <c r="BZ68" s="319"/>
      <c r="CA68" s="319"/>
      <c r="CB68" s="319"/>
      <c r="CC68" s="319"/>
      <c r="CD68" s="319"/>
      <c r="CE68" s="319"/>
    </row>
    <row r="69" spans="2:83" s="326" customFormat="1">
      <c r="B69" s="324"/>
      <c r="C69" s="324"/>
      <c r="D69" s="325"/>
      <c r="M69" s="327"/>
      <c r="N69" s="327"/>
      <c r="O69" s="327"/>
      <c r="P69" s="327"/>
      <c r="V69" s="327"/>
      <c r="W69" s="327"/>
      <c r="X69" s="327"/>
      <c r="Y69" s="327"/>
      <c r="Z69" s="327"/>
      <c r="AA69" s="327"/>
      <c r="BB69" s="327"/>
      <c r="BH69" s="327"/>
      <c r="BJ69" s="319"/>
      <c r="BK69" s="319"/>
      <c r="BL69" s="319"/>
      <c r="BM69" s="319"/>
      <c r="BN69" s="319"/>
      <c r="BO69" s="319"/>
      <c r="BP69" s="319"/>
      <c r="BQ69" s="319"/>
      <c r="BR69" s="319"/>
      <c r="BS69" s="319"/>
      <c r="BT69" s="319"/>
      <c r="BU69" s="319"/>
      <c r="BV69" s="319"/>
      <c r="BW69" s="319"/>
      <c r="BX69" s="319"/>
      <c r="BY69" s="319"/>
      <c r="BZ69" s="319"/>
      <c r="CA69" s="319"/>
      <c r="CB69" s="319"/>
      <c r="CC69" s="319"/>
      <c r="CD69" s="319"/>
      <c r="CE69" s="319"/>
    </row>
    <row r="70" spans="2:83" s="326" customFormat="1">
      <c r="B70" s="324"/>
      <c r="C70" s="324"/>
      <c r="D70" s="325"/>
      <c r="M70" s="327"/>
      <c r="N70" s="327"/>
      <c r="O70" s="327"/>
      <c r="P70" s="327"/>
      <c r="V70" s="327"/>
      <c r="W70" s="327"/>
      <c r="X70" s="327"/>
      <c r="Y70" s="327"/>
      <c r="Z70" s="327"/>
      <c r="AA70" s="327"/>
      <c r="BB70" s="327"/>
      <c r="BH70" s="327"/>
      <c r="BJ70" s="319"/>
      <c r="BK70" s="319"/>
      <c r="BL70" s="319"/>
      <c r="BM70" s="319"/>
      <c r="BN70" s="319"/>
      <c r="BO70" s="319"/>
      <c r="BP70" s="319"/>
      <c r="BQ70" s="319"/>
      <c r="BR70" s="319"/>
      <c r="BS70" s="319"/>
      <c r="BT70" s="319"/>
      <c r="BU70" s="319"/>
      <c r="BV70" s="319"/>
      <c r="BW70" s="319"/>
      <c r="BX70" s="319"/>
      <c r="BY70" s="319"/>
      <c r="BZ70" s="319"/>
      <c r="CA70" s="319"/>
      <c r="CB70" s="319"/>
      <c r="CC70" s="319"/>
      <c r="CD70" s="319"/>
      <c r="CE70" s="319"/>
    </row>
    <row r="71" spans="2:83" s="326" customFormat="1">
      <c r="B71" s="324"/>
      <c r="C71" s="324"/>
      <c r="D71" s="325"/>
      <c r="M71" s="327"/>
      <c r="N71" s="327"/>
      <c r="O71" s="327"/>
      <c r="P71" s="327"/>
      <c r="V71" s="327"/>
      <c r="W71" s="327"/>
      <c r="X71" s="327"/>
      <c r="Y71" s="327"/>
      <c r="Z71" s="327"/>
      <c r="AA71" s="327"/>
      <c r="BB71" s="327"/>
      <c r="BH71" s="327"/>
      <c r="BJ71" s="319"/>
      <c r="BK71" s="319"/>
      <c r="BL71" s="319"/>
      <c r="BM71" s="319"/>
      <c r="BN71" s="319"/>
      <c r="BO71" s="319"/>
      <c r="BP71" s="319"/>
      <c r="BQ71" s="319"/>
      <c r="BR71" s="319"/>
      <c r="BS71" s="319"/>
      <c r="BT71" s="319"/>
      <c r="BU71" s="319"/>
      <c r="BV71" s="319"/>
      <c r="BW71" s="319"/>
      <c r="BX71" s="319"/>
      <c r="BY71" s="319"/>
      <c r="BZ71" s="319"/>
      <c r="CA71" s="319"/>
      <c r="CB71" s="319"/>
      <c r="CC71" s="319"/>
      <c r="CD71" s="319"/>
      <c r="CE71" s="319"/>
    </row>
    <row r="72" spans="2:83" s="326" customFormat="1">
      <c r="B72" s="324"/>
      <c r="C72" s="324"/>
      <c r="D72" s="325"/>
      <c r="M72" s="327"/>
      <c r="N72" s="327"/>
      <c r="O72" s="327"/>
      <c r="P72" s="327"/>
      <c r="V72" s="327"/>
      <c r="W72" s="327"/>
      <c r="X72" s="327"/>
      <c r="Y72" s="327"/>
      <c r="Z72" s="327"/>
      <c r="AA72" s="327"/>
      <c r="BB72" s="327"/>
      <c r="BH72" s="327"/>
      <c r="BJ72" s="319"/>
      <c r="BK72" s="319"/>
      <c r="BL72" s="319"/>
      <c r="BM72" s="319"/>
      <c r="BN72" s="319"/>
      <c r="BO72" s="319"/>
      <c r="BP72" s="319"/>
      <c r="BQ72" s="319"/>
      <c r="BR72" s="319"/>
      <c r="BS72" s="319"/>
      <c r="BT72" s="319"/>
      <c r="BU72" s="319"/>
      <c r="BV72" s="319"/>
      <c r="BW72" s="319"/>
      <c r="BX72" s="319"/>
      <c r="BY72" s="319"/>
      <c r="BZ72" s="319"/>
      <c r="CA72" s="319"/>
      <c r="CB72" s="319"/>
      <c r="CC72" s="319"/>
      <c r="CD72" s="319"/>
      <c r="CE72" s="319"/>
    </row>
    <row r="73" spans="2:83" s="326" customFormat="1">
      <c r="B73" s="324"/>
      <c r="C73" s="324"/>
      <c r="D73" s="325"/>
      <c r="M73" s="327"/>
      <c r="N73" s="327"/>
      <c r="O73" s="327"/>
      <c r="P73" s="327"/>
      <c r="V73" s="327"/>
      <c r="W73" s="327"/>
      <c r="X73" s="327"/>
      <c r="Y73" s="327"/>
      <c r="Z73" s="327"/>
      <c r="AA73" s="327"/>
      <c r="BB73" s="327"/>
      <c r="BH73" s="327"/>
      <c r="BJ73" s="319"/>
      <c r="BK73" s="319"/>
      <c r="BL73" s="319"/>
      <c r="BM73" s="319"/>
      <c r="BN73" s="319"/>
      <c r="BO73" s="319"/>
      <c r="BP73" s="319"/>
      <c r="BQ73" s="319"/>
      <c r="BR73" s="319"/>
      <c r="BS73" s="319"/>
      <c r="BT73" s="319"/>
      <c r="BU73" s="319"/>
      <c r="BV73" s="319"/>
      <c r="BW73" s="319"/>
      <c r="BX73" s="319"/>
      <c r="BY73" s="319"/>
      <c r="BZ73" s="319"/>
      <c r="CA73" s="319"/>
      <c r="CB73" s="319"/>
      <c r="CC73" s="319"/>
      <c r="CD73" s="319"/>
      <c r="CE73" s="319"/>
    </row>
    <row r="74" spans="2:83" s="326" customFormat="1">
      <c r="B74" s="324"/>
      <c r="C74" s="324"/>
      <c r="D74" s="325"/>
      <c r="M74" s="327"/>
      <c r="N74" s="327"/>
      <c r="O74" s="327"/>
      <c r="P74" s="327"/>
      <c r="V74" s="327"/>
      <c r="W74" s="327"/>
      <c r="X74" s="327"/>
      <c r="Y74" s="327"/>
      <c r="Z74" s="327"/>
      <c r="AA74" s="327"/>
      <c r="BB74" s="327"/>
      <c r="BH74" s="327"/>
      <c r="BJ74" s="319"/>
      <c r="BK74" s="319"/>
      <c r="BL74" s="319"/>
      <c r="BM74" s="319"/>
      <c r="BN74" s="319"/>
      <c r="BO74" s="319"/>
      <c r="BP74" s="319"/>
      <c r="BQ74" s="319"/>
      <c r="BR74" s="319"/>
      <c r="BS74" s="319"/>
      <c r="BT74" s="319"/>
      <c r="BU74" s="319"/>
      <c r="BV74" s="319"/>
      <c r="BW74" s="319"/>
      <c r="BX74" s="319"/>
      <c r="BY74" s="319"/>
      <c r="BZ74" s="319"/>
      <c r="CA74" s="319"/>
      <c r="CB74" s="319"/>
      <c r="CC74" s="319"/>
      <c r="CD74" s="319"/>
      <c r="CE74" s="319"/>
    </row>
    <row r="75" spans="2:83" s="326" customFormat="1">
      <c r="B75" s="324"/>
      <c r="C75" s="324"/>
      <c r="D75" s="325"/>
      <c r="M75" s="327"/>
      <c r="N75" s="327"/>
      <c r="O75" s="327"/>
      <c r="P75" s="327"/>
      <c r="V75" s="327"/>
      <c r="W75" s="327"/>
      <c r="X75" s="327"/>
      <c r="Y75" s="327"/>
      <c r="Z75" s="327"/>
      <c r="AA75" s="327"/>
      <c r="BB75" s="327"/>
      <c r="BH75" s="327"/>
      <c r="BJ75" s="319"/>
      <c r="BK75" s="319"/>
      <c r="BL75" s="319"/>
      <c r="BM75" s="319"/>
      <c r="BN75" s="319"/>
      <c r="BO75" s="319"/>
      <c r="BP75" s="319"/>
      <c r="BQ75" s="319"/>
      <c r="BR75" s="319"/>
      <c r="BS75" s="319"/>
      <c r="BT75" s="319"/>
      <c r="BU75" s="319"/>
      <c r="BV75" s="319"/>
      <c r="BW75" s="319"/>
      <c r="BX75" s="319"/>
      <c r="BY75" s="319"/>
      <c r="BZ75" s="319"/>
      <c r="CA75" s="319"/>
      <c r="CB75" s="319"/>
      <c r="CC75" s="319"/>
      <c r="CD75" s="319"/>
      <c r="CE75" s="319"/>
    </row>
    <row r="76" spans="2:83" s="326" customFormat="1">
      <c r="B76" s="324"/>
      <c r="C76" s="324"/>
      <c r="D76" s="325"/>
      <c r="M76" s="327"/>
      <c r="N76" s="327"/>
      <c r="O76" s="327"/>
      <c r="P76" s="327"/>
      <c r="V76" s="327"/>
      <c r="W76" s="327"/>
      <c r="X76" s="327"/>
      <c r="Y76" s="327"/>
      <c r="Z76" s="327"/>
      <c r="AA76" s="327"/>
      <c r="BB76" s="327"/>
      <c r="BH76" s="327"/>
      <c r="BJ76" s="319"/>
      <c r="BK76" s="319"/>
      <c r="BL76" s="319"/>
      <c r="BM76" s="319"/>
      <c r="BN76" s="319"/>
      <c r="BO76" s="319"/>
      <c r="BP76" s="319"/>
      <c r="BQ76" s="319"/>
      <c r="BR76" s="319"/>
      <c r="BS76" s="319"/>
      <c r="BT76" s="319"/>
      <c r="BU76" s="319"/>
      <c r="BV76" s="319"/>
      <c r="BW76" s="319"/>
      <c r="BX76" s="319"/>
      <c r="BY76" s="319"/>
      <c r="BZ76" s="319"/>
      <c r="CA76" s="319"/>
      <c r="CB76" s="319"/>
      <c r="CC76" s="319"/>
      <c r="CD76" s="319"/>
      <c r="CE76" s="319"/>
    </row>
    <row r="77" spans="2:83" s="326" customFormat="1">
      <c r="B77" s="324"/>
      <c r="C77" s="324"/>
      <c r="D77" s="325"/>
      <c r="M77" s="327"/>
      <c r="N77" s="327"/>
      <c r="O77" s="327"/>
      <c r="P77" s="327"/>
      <c r="V77" s="327"/>
      <c r="W77" s="327"/>
      <c r="X77" s="327"/>
      <c r="Y77" s="327"/>
      <c r="Z77" s="327"/>
      <c r="AA77" s="327"/>
      <c r="BB77" s="327"/>
      <c r="BH77" s="327"/>
      <c r="BJ77" s="319"/>
      <c r="BK77" s="319"/>
      <c r="BL77" s="319"/>
      <c r="BM77" s="319"/>
      <c r="BN77" s="319"/>
      <c r="BO77" s="319"/>
      <c r="BP77" s="319"/>
      <c r="BQ77" s="319"/>
      <c r="BR77" s="319"/>
      <c r="BS77" s="319"/>
      <c r="BT77" s="319"/>
      <c r="BU77" s="319"/>
      <c r="BV77" s="319"/>
      <c r="BW77" s="319"/>
      <c r="BX77" s="319"/>
      <c r="BY77" s="319"/>
      <c r="BZ77" s="319"/>
      <c r="CA77" s="319"/>
      <c r="CB77" s="319"/>
      <c r="CC77" s="319"/>
      <c r="CD77" s="319"/>
      <c r="CE77" s="319"/>
    </row>
    <row r="78" spans="2:83" s="326" customFormat="1">
      <c r="B78" s="324"/>
      <c r="C78" s="324"/>
      <c r="D78" s="325"/>
      <c r="M78" s="327"/>
      <c r="N78" s="327"/>
      <c r="O78" s="327"/>
      <c r="P78" s="327"/>
      <c r="V78" s="327"/>
      <c r="W78" s="327"/>
      <c r="X78" s="327"/>
      <c r="Y78" s="327"/>
      <c r="Z78" s="327"/>
      <c r="AA78" s="327"/>
      <c r="BB78" s="327"/>
      <c r="BH78" s="327"/>
      <c r="BJ78" s="319"/>
      <c r="BK78" s="319"/>
      <c r="BL78" s="319"/>
      <c r="BM78" s="319"/>
      <c r="BN78" s="319"/>
      <c r="BO78" s="319"/>
      <c r="BP78" s="319"/>
      <c r="BQ78" s="319"/>
      <c r="BR78" s="319"/>
      <c r="BS78" s="319"/>
      <c r="BT78" s="319"/>
      <c r="BU78" s="319"/>
      <c r="BV78" s="319"/>
      <c r="BW78" s="319"/>
      <c r="BX78" s="319"/>
      <c r="BY78" s="319"/>
      <c r="BZ78" s="319"/>
      <c r="CA78" s="319"/>
      <c r="CB78" s="319"/>
      <c r="CC78" s="319"/>
      <c r="CD78" s="319"/>
      <c r="CE78" s="319"/>
    </row>
    <row r="79" spans="2:83" s="326" customFormat="1">
      <c r="B79" s="324"/>
      <c r="C79" s="324"/>
      <c r="D79" s="325"/>
      <c r="M79" s="327"/>
      <c r="N79" s="327"/>
      <c r="O79" s="327"/>
      <c r="P79" s="327"/>
      <c r="V79" s="327"/>
      <c r="W79" s="327"/>
      <c r="X79" s="327"/>
      <c r="Y79" s="327"/>
      <c r="Z79" s="327"/>
      <c r="AA79" s="327"/>
      <c r="BB79" s="327"/>
      <c r="BH79" s="327"/>
      <c r="BJ79" s="319"/>
      <c r="BK79" s="319"/>
      <c r="BL79" s="319"/>
      <c r="BM79" s="319"/>
      <c r="BN79" s="319"/>
      <c r="BO79" s="319"/>
      <c r="BP79" s="319"/>
      <c r="BQ79" s="319"/>
      <c r="BR79" s="319"/>
      <c r="BS79" s="319"/>
      <c r="BT79" s="319"/>
      <c r="BU79" s="319"/>
      <c r="BV79" s="319"/>
      <c r="BW79" s="319"/>
      <c r="BX79" s="319"/>
      <c r="BY79" s="319"/>
      <c r="BZ79" s="319"/>
      <c r="CA79" s="319"/>
      <c r="CB79" s="319"/>
      <c r="CC79" s="319"/>
      <c r="CD79" s="319"/>
      <c r="CE79" s="319"/>
    </row>
    <row r="80" spans="2:83" s="326" customFormat="1">
      <c r="B80" s="324"/>
      <c r="C80" s="324"/>
      <c r="D80" s="325"/>
      <c r="M80" s="327"/>
      <c r="N80" s="327"/>
      <c r="O80" s="327"/>
      <c r="P80" s="327"/>
      <c r="V80" s="327"/>
      <c r="W80" s="327"/>
      <c r="X80" s="327"/>
      <c r="Y80" s="327"/>
      <c r="Z80" s="327"/>
      <c r="AA80" s="327"/>
      <c r="BB80" s="327"/>
      <c r="BH80" s="327"/>
      <c r="BJ80" s="319"/>
      <c r="BK80" s="319"/>
      <c r="BL80" s="319"/>
      <c r="BM80" s="319"/>
      <c r="BN80" s="319"/>
      <c r="BO80" s="319"/>
      <c r="BP80" s="319"/>
      <c r="BQ80" s="319"/>
      <c r="BR80" s="319"/>
      <c r="BS80" s="319"/>
      <c r="BT80" s="319"/>
      <c r="BU80" s="319"/>
      <c r="BV80" s="319"/>
      <c r="BW80" s="319"/>
      <c r="BX80" s="319"/>
      <c r="BY80" s="319"/>
      <c r="BZ80" s="319"/>
      <c r="CA80" s="319"/>
      <c r="CB80" s="319"/>
      <c r="CC80" s="319"/>
      <c r="CD80" s="319"/>
      <c r="CE80" s="319"/>
    </row>
    <row r="81" spans="2:83" s="326" customFormat="1">
      <c r="B81" s="324"/>
      <c r="C81" s="324"/>
      <c r="D81" s="325"/>
      <c r="M81" s="327"/>
      <c r="N81" s="327"/>
      <c r="O81" s="327"/>
      <c r="P81" s="327"/>
      <c r="V81" s="327"/>
      <c r="W81" s="327"/>
      <c r="X81" s="327"/>
      <c r="Y81" s="327"/>
      <c r="Z81" s="327"/>
      <c r="AA81" s="327"/>
      <c r="BB81" s="327"/>
      <c r="BH81" s="327"/>
      <c r="BJ81" s="319"/>
      <c r="BK81" s="319"/>
      <c r="BL81" s="319"/>
      <c r="BM81" s="319"/>
      <c r="BN81" s="319"/>
      <c r="BO81" s="319"/>
      <c r="BP81" s="319"/>
      <c r="BQ81" s="319"/>
      <c r="BR81" s="319"/>
      <c r="BS81" s="319"/>
      <c r="BT81" s="319"/>
      <c r="BU81" s="319"/>
      <c r="BV81" s="319"/>
      <c r="BW81" s="319"/>
      <c r="BX81" s="319"/>
      <c r="BY81" s="319"/>
      <c r="BZ81" s="319"/>
      <c r="CA81" s="319"/>
      <c r="CB81" s="319"/>
      <c r="CC81" s="319"/>
      <c r="CD81" s="319"/>
      <c r="CE81" s="319"/>
    </row>
    <row r="82" spans="2:83" s="326" customFormat="1">
      <c r="B82" s="324"/>
      <c r="C82" s="324"/>
      <c r="D82" s="325"/>
      <c r="M82" s="327"/>
      <c r="N82" s="327"/>
      <c r="O82" s="327"/>
      <c r="P82" s="327"/>
      <c r="V82" s="327"/>
      <c r="W82" s="327"/>
      <c r="X82" s="327"/>
      <c r="Y82" s="327"/>
      <c r="Z82" s="327"/>
      <c r="AA82" s="327"/>
      <c r="BB82" s="327"/>
      <c r="BH82" s="327"/>
      <c r="BJ82" s="319"/>
      <c r="BK82" s="319"/>
      <c r="BL82" s="319"/>
      <c r="BM82" s="319"/>
      <c r="BN82" s="319"/>
      <c r="BO82" s="319"/>
      <c r="BP82" s="319"/>
      <c r="BQ82" s="319"/>
      <c r="BR82" s="319"/>
      <c r="BS82" s="319"/>
      <c r="BT82" s="319"/>
      <c r="BU82" s="319"/>
      <c r="BV82" s="319"/>
      <c r="BW82" s="319"/>
      <c r="BX82" s="319"/>
      <c r="BY82" s="319"/>
      <c r="BZ82" s="319"/>
      <c r="CA82" s="319"/>
      <c r="CB82" s="319"/>
      <c r="CC82" s="319"/>
      <c r="CD82" s="319"/>
      <c r="CE82" s="319"/>
    </row>
    <row r="83" spans="2:83" s="326" customFormat="1" ht="10.5" customHeight="1">
      <c r="B83" s="324"/>
      <c r="C83" s="324"/>
      <c r="D83" s="325"/>
      <c r="M83" s="327"/>
      <c r="N83" s="327"/>
      <c r="O83" s="327"/>
      <c r="P83" s="327"/>
      <c r="V83" s="327"/>
      <c r="W83" s="327"/>
      <c r="X83" s="327"/>
      <c r="Y83" s="327"/>
      <c r="Z83" s="327"/>
      <c r="AA83" s="327"/>
      <c r="BB83" s="327"/>
      <c r="BH83" s="327"/>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row>
    <row r="84" spans="2:83" s="326" customFormat="1" ht="10.5" customHeight="1">
      <c r="B84" s="324"/>
      <c r="C84" s="324"/>
      <c r="D84" s="325"/>
      <c r="M84" s="327"/>
      <c r="N84" s="327"/>
      <c r="O84" s="327"/>
      <c r="P84" s="327"/>
      <c r="V84" s="327"/>
      <c r="W84" s="327"/>
      <c r="X84" s="327"/>
      <c r="Y84" s="327"/>
      <c r="Z84" s="327"/>
      <c r="AA84" s="327"/>
      <c r="BB84" s="327"/>
      <c r="BH84" s="327"/>
      <c r="BJ84" s="319"/>
      <c r="BK84" s="319"/>
      <c r="BL84" s="319"/>
      <c r="BM84" s="319"/>
      <c r="BN84" s="319"/>
      <c r="BO84" s="319"/>
      <c r="BP84" s="319"/>
      <c r="BQ84" s="319"/>
      <c r="BR84" s="319"/>
      <c r="BS84" s="319"/>
      <c r="BT84" s="319"/>
      <c r="BU84" s="319"/>
      <c r="BV84" s="319"/>
      <c r="BW84" s="319"/>
      <c r="BX84" s="319"/>
      <c r="BY84" s="319"/>
      <c r="BZ84" s="319"/>
      <c r="CA84" s="319"/>
      <c r="CB84" s="319"/>
      <c r="CC84" s="319"/>
      <c r="CD84" s="319"/>
      <c r="CE84" s="319"/>
    </row>
    <row r="85" spans="2:83" s="326" customFormat="1" ht="10.5" customHeight="1">
      <c r="B85" s="324"/>
      <c r="C85" s="324"/>
      <c r="D85" s="325"/>
      <c r="M85" s="327"/>
      <c r="N85" s="327"/>
      <c r="O85" s="327"/>
      <c r="P85" s="327"/>
      <c r="V85" s="327"/>
      <c r="W85" s="327"/>
      <c r="X85" s="327"/>
      <c r="Y85" s="327"/>
      <c r="Z85" s="327"/>
      <c r="AA85" s="327"/>
      <c r="BB85" s="327"/>
      <c r="BH85" s="327"/>
      <c r="BJ85" s="319"/>
      <c r="BK85" s="319"/>
      <c r="BL85" s="319"/>
      <c r="BM85" s="319"/>
      <c r="BN85" s="319"/>
      <c r="BO85" s="319"/>
      <c r="BP85" s="319"/>
      <c r="BQ85" s="319"/>
      <c r="BR85" s="319"/>
      <c r="BS85" s="319"/>
      <c r="BT85" s="319"/>
      <c r="BU85" s="319"/>
      <c r="BV85" s="319"/>
      <c r="BW85" s="319"/>
      <c r="BX85" s="319"/>
      <c r="BY85" s="319"/>
      <c r="BZ85" s="319"/>
      <c r="CA85" s="319"/>
      <c r="CB85" s="319"/>
      <c r="CC85" s="319"/>
      <c r="CD85" s="319"/>
      <c r="CE85" s="319"/>
    </row>
    <row r="86" spans="2:83" s="326" customFormat="1" ht="10.5" customHeight="1">
      <c r="B86" s="324"/>
      <c r="C86" s="324"/>
      <c r="D86" s="325"/>
      <c r="M86" s="327"/>
      <c r="N86" s="327"/>
      <c r="O86" s="327"/>
      <c r="P86" s="327"/>
      <c r="V86" s="327"/>
      <c r="W86" s="327"/>
      <c r="X86" s="327"/>
      <c r="Y86" s="327"/>
      <c r="Z86" s="327"/>
      <c r="AA86" s="327"/>
      <c r="BB86" s="327"/>
      <c r="BH86" s="327"/>
      <c r="BJ86" s="319"/>
      <c r="BK86" s="319"/>
      <c r="BL86" s="319"/>
      <c r="BM86" s="319"/>
      <c r="BN86" s="319"/>
      <c r="BO86" s="319"/>
      <c r="BP86" s="319"/>
      <c r="BQ86" s="319"/>
      <c r="BR86" s="319"/>
      <c r="BS86" s="319"/>
      <c r="BT86" s="319"/>
      <c r="BU86" s="319"/>
      <c r="BV86" s="319"/>
      <c r="BW86" s="319"/>
      <c r="BX86" s="319"/>
      <c r="BY86" s="319"/>
      <c r="BZ86" s="319"/>
      <c r="CA86" s="319"/>
      <c r="CB86" s="319"/>
      <c r="CC86" s="319"/>
      <c r="CD86" s="319"/>
      <c r="CE86" s="319"/>
    </row>
    <row r="87" spans="2:83" s="326" customFormat="1" ht="10.5" customHeight="1">
      <c r="B87" s="324"/>
      <c r="C87" s="324"/>
      <c r="D87" s="325"/>
      <c r="M87" s="327"/>
      <c r="N87" s="327"/>
      <c r="O87" s="327"/>
      <c r="P87" s="327"/>
      <c r="V87" s="327"/>
      <c r="W87" s="327"/>
      <c r="X87" s="327"/>
      <c r="Y87" s="327"/>
      <c r="Z87" s="327"/>
      <c r="AA87" s="327"/>
      <c r="BB87" s="327"/>
      <c r="BH87" s="327"/>
      <c r="BJ87" s="319"/>
      <c r="BK87" s="319"/>
      <c r="BL87" s="319"/>
      <c r="BM87" s="319"/>
      <c r="BN87" s="319"/>
      <c r="BO87" s="319"/>
      <c r="BP87" s="319"/>
      <c r="BQ87" s="319"/>
      <c r="BR87" s="319"/>
      <c r="BS87" s="319"/>
      <c r="BT87" s="319"/>
      <c r="BU87" s="319"/>
      <c r="BV87" s="319"/>
      <c r="BW87" s="319"/>
      <c r="BX87" s="319"/>
      <c r="BY87" s="319"/>
      <c r="BZ87" s="319"/>
      <c r="CA87" s="319"/>
      <c r="CB87" s="319"/>
      <c r="CC87" s="319"/>
      <c r="CD87" s="319"/>
      <c r="CE87" s="319"/>
    </row>
    <row r="88" spans="2:83" s="326" customFormat="1" ht="10.5" customHeight="1">
      <c r="B88" s="324"/>
      <c r="C88" s="324"/>
      <c r="D88" s="325"/>
      <c r="M88" s="327"/>
      <c r="N88" s="327"/>
      <c r="O88" s="327"/>
      <c r="P88" s="327"/>
      <c r="V88" s="327"/>
      <c r="W88" s="327"/>
      <c r="X88" s="327"/>
      <c r="Y88" s="327"/>
      <c r="Z88" s="327"/>
      <c r="AA88" s="327"/>
      <c r="BB88" s="327"/>
      <c r="BH88" s="327"/>
      <c r="BJ88" s="319"/>
      <c r="BK88" s="319"/>
      <c r="BL88" s="319"/>
      <c r="BM88" s="319"/>
      <c r="BN88" s="319"/>
      <c r="BO88" s="319"/>
      <c r="BP88" s="319"/>
      <c r="BQ88" s="319"/>
      <c r="BR88" s="319"/>
      <c r="BS88" s="319"/>
      <c r="BT88" s="319"/>
      <c r="BU88" s="319"/>
      <c r="BV88" s="319"/>
      <c r="BW88" s="319"/>
      <c r="BX88" s="319"/>
      <c r="BY88" s="319"/>
      <c r="BZ88" s="319"/>
      <c r="CA88" s="319"/>
      <c r="CB88" s="319"/>
      <c r="CC88" s="319"/>
      <c r="CD88" s="319"/>
      <c r="CE88" s="319"/>
    </row>
    <row r="89" spans="2:83" s="326" customFormat="1" ht="10.5" customHeight="1">
      <c r="B89" s="324"/>
      <c r="C89" s="324"/>
      <c r="D89" s="325"/>
      <c r="M89" s="327"/>
      <c r="N89" s="327"/>
      <c r="O89" s="327"/>
      <c r="P89" s="327"/>
      <c r="R89" s="338"/>
      <c r="S89" s="338"/>
      <c r="T89" s="338"/>
      <c r="U89" s="338"/>
      <c r="V89" s="338"/>
      <c r="W89" s="338"/>
      <c r="X89" s="338"/>
      <c r="Y89" s="338"/>
      <c r="Z89" s="338"/>
      <c r="AA89" s="338"/>
      <c r="AB89" s="338"/>
      <c r="AC89" s="338"/>
      <c r="AD89" s="338"/>
      <c r="AE89" s="338"/>
      <c r="AF89" s="338"/>
      <c r="AG89" s="338"/>
      <c r="AH89" s="338"/>
      <c r="AI89" s="338"/>
      <c r="AJ89" s="338"/>
      <c r="AK89" s="338"/>
      <c r="AL89" s="338"/>
      <c r="AM89" s="338"/>
      <c r="AN89" s="338"/>
      <c r="AO89" s="338"/>
      <c r="AP89" s="338"/>
      <c r="AQ89" s="338"/>
      <c r="AR89" s="339"/>
      <c r="AS89" s="339"/>
      <c r="AT89" s="339"/>
      <c r="AU89" s="339"/>
      <c r="AV89" s="339"/>
      <c r="AW89" s="339"/>
      <c r="AX89" s="339"/>
      <c r="BB89" s="327"/>
      <c r="BH89" s="327"/>
      <c r="BJ89" s="319"/>
      <c r="BK89" s="319"/>
      <c r="BL89" s="319"/>
      <c r="BM89" s="319"/>
      <c r="BN89" s="319"/>
      <c r="BO89" s="319"/>
      <c r="BP89" s="319"/>
      <c r="BQ89" s="319"/>
      <c r="BR89" s="319"/>
      <c r="BS89" s="319"/>
      <c r="BT89" s="319"/>
      <c r="BU89" s="319"/>
      <c r="BV89" s="319"/>
      <c r="BW89" s="319"/>
      <c r="BX89" s="319"/>
      <c r="BY89" s="319"/>
      <c r="BZ89" s="319"/>
      <c r="CA89" s="319"/>
      <c r="CB89" s="319"/>
      <c r="CC89" s="319"/>
      <c r="CD89" s="319"/>
      <c r="CE89" s="319"/>
    </row>
    <row r="90" spans="2:83" s="326" customFormat="1" ht="10.5" customHeight="1">
      <c r="B90" s="324"/>
      <c r="C90" s="324"/>
      <c r="D90" s="325"/>
      <c r="M90" s="327"/>
      <c r="N90" s="327"/>
      <c r="O90" s="327"/>
      <c r="P90" s="327"/>
      <c r="V90" s="327"/>
      <c r="W90" s="327"/>
      <c r="X90" s="327"/>
      <c r="Y90" s="327"/>
      <c r="Z90" s="327"/>
      <c r="AA90" s="327"/>
      <c r="BB90" s="327"/>
      <c r="BH90" s="327"/>
      <c r="BJ90" s="319"/>
      <c r="BK90" s="319"/>
      <c r="BL90" s="319"/>
      <c r="BM90" s="319"/>
      <c r="BN90" s="319"/>
      <c r="BO90" s="319"/>
      <c r="BP90" s="319"/>
      <c r="BQ90" s="319"/>
      <c r="BR90" s="319"/>
      <c r="BS90" s="319"/>
      <c r="BT90" s="319"/>
      <c r="BU90" s="319"/>
      <c r="BV90" s="319"/>
      <c r="BW90" s="319"/>
      <c r="BX90" s="319"/>
      <c r="BY90" s="319"/>
      <c r="BZ90" s="319"/>
      <c r="CA90" s="319"/>
      <c r="CB90" s="319"/>
      <c r="CC90" s="319"/>
      <c r="CD90" s="319"/>
      <c r="CE90" s="319"/>
    </row>
    <row r="91" spans="2:83" s="326" customFormat="1" ht="10.5" customHeight="1">
      <c r="B91" s="324"/>
      <c r="C91" s="324"/>
      <c r="D91" s="325"/>
      <c r="M91" s="327"/>
      <c r="N91" s="327"/>
      <c r="O91" s="327"/>
      <c r="P91" s="327"/>
      <c r="V91" s="327"/>
      <c r="W91" s="327"/>
      <c r="X91" s="327"/>
      <c r="Y91" s="327"/>
      <c r="Z91" s="327"/>
      <c r="AA91" s="327"/>
      <c r="BB91" s="327"/>
      <c r="BH91" s="327"/>
      <c r="BJ91" s="319"/>
      <c r="BK91" s="319"/>
      <c r="BL91" s="319"/>
      <c r="BM91" s="319"/>
      <c r="BN91" s="319"/>
      <c r="BO91" s="319"/>
      <c r="BP91" s="319"/>
      <c r="BQ91" s="319"/>
      <c r="BR91" s="319"/>
      <c r="BS91" s="319"/>
      <c r="BT91" s="319"/>
      <c r="BU91" s="319"/>
      <c r="BV91" s="319"/>
      <c r="BW91" s="319"/>
      <c r="BX91" s="319"/>
      <c r="BY91" s="319"/>
      <c r="BZ91" s="319"/>
      <c r="CA91" s="319"/>
      <c r="CB91" s="319"/>
      <c r="CC91" s="319"/>
      <c r="CD91" s="319"/>
      <c r="CE91" s="319"/>
    </row>
    <row r="92" spans="2:83" s="326" customFormat="1" ht="10.5" customHeight="1">
      <c r="B92" s="324"/>
      <c r="C92" s="324"/>
      <c r="D92" s="325"/>
      <c r="M92" s="327"/>
      <c r="N92" s="327"/>
      <c r="O92" s="327"/>
      <c r="P92" s="327"/>
      <c r="V92" s="327"/>
      <c r="W92" s="327"/>
      <c r="X92" s="327"/>
      <c r="Y92" s="327"/>
      <c r="Z92" s="327"/>
      <c r="AA92" s="327"/>
      <c r="BB92" s="327"/>
      <c r="BH92" s="327"/>
      <c r="BJ92" s="319"/>
      <c r="BK92" s="319"/>
      <c r="BL92" s="319"/>
      <c r="BM92" s="319"/>
      <c r="BN92" s="319"/>
      <c r="BO92" s="319"/>
      <c r="BP92" s="319"/>
      <c r="BQ92" s="319"/>
      <c r="BR92" s="319"/>
      <c r="BS92" s="319"/>
      <c r="BT92" s="319"/>
      <c r="BU92" s="319"/>
      <c r="BV92" s="319"/>
      <c r="BW92" s="319"/>
      <c r="BX92" s="319"/>
      <c r="BY92" s="319"/>
      <c r="BZ92" s="319"/>
      <c r="CA92" s="319"/>
      <c r="CB92" s="319"/>
      <c r="CC92" s="319"/>
      <c r="CD92" s="319"/>
      <c r="CE92" s="319"/>
    </row>
    <row r="93" spans="2:83" s="326" customFormat="1" ht="10.5" customHeight="1">
      <c r="B93" s="324"/>
      <c r="C93" s="324"/>
      <c r="D93" s="325"/>
      <c r="M93" s="327"/>
      <c r="N93" s="327"/>
      <c r="O93" s="327"/>
      <c r="P93" s="327"/>
      <c r="V93" s="327"/>
      <c r="W93" s="327"/>
      <c r="X93" s="327"/>
      <c r="Y93" s="327"/>
      <c r="Z93" s="327"/>
      <c r="AA93" s="327"/>
      <c r="BB93" s="327"/>
      <c r="BH93" s="327"/>
      <c r="BJ93" s="319"/>
      <c r="BK93" s="319"/>
      <c r="BL93" s="319"/>
      <c r="BM93" s="319"/>
      <c r="BN93" s="319"/>
      <c r="BO93" s="319"/>
      <c r="BP93" s="319"/>
      <c r="BQ93" s="319"/>
      <c r="BR93" s="319"/>
      <c r="BS93" s="319"/>
      <c r="BT93" s="319"/>
      <c r="BU93" s="319"/>
      <c r="BV93" s="319"/>
      <c r="BW93" s="319"/>
      <c r="BX93" s="319"/>
      <c r="BY93" s="319"/>
      <c r="BZ93" s="319"/>
      <c r="CA93" s="319"/>
      <c r="CB93" s="319"/>
      <c r="CC93" s="319"/>
      <c r="CD93" s="319"/>
      <c r="CE93" s="319"/>
    </row>
    <row r="94" spans="2:83" s="326" customFormat="1" ht="10.5" customHeight="1">
      <c r="B94" s="324"/>
      <c r="C94" s="324"/>
      <c r="D94" s="325"/>
      <c r="M94" s="327"/>
      <c r="N94" s="327"/>
      <c r="O94" s="327"/>
      <c r="P94" s="327"/>
      <c r="V94" s="327"/>
      <c r="W94" s="327"/>
      <c r="X94" s="327"/>
      <c r="Y94" s="327"/>
      <c r="Z94" s="327"/>
      <c r="AA94" s="327"/>
      <c r="BB94" s="327"/>
      <c r="BH94" s="327"/>
      <c r="BJ94" s="319"/>
      <c r="BK94" s="319"/>
      <c r="BL94" s="319"/>
      <c r="BM94" s="319"/>
      <c r="BN94" s="319"/>
      <c r="BO94" s="319"/>
      <c r="BP94" s="319"/>
      <c r="BQ94" s="319"/>
      <c r="BR94" s="319"/>
      <c r="BS94" s="319"/>
      <c r="BT94" s="319"/>
      <c r="BU94" s="319"/>
      <c r="BV94" s="319"/>
      <c r="BW94" s="319"/>
      <c r="BX94" s="319"/>
      <c r="BY94" s="319"/>
      <c r="BZ94" s="319"/>
      <c r="CA94" s="319"/>
      <c r="CB94" s="319"/>
      <c r="CC94" s="319"/>
      <c r="CD94" s="319"/>
      <c r="CE94" s="319"/>
    </row>
    <row r="95" spans="2:83" s="326" customFormat="1" ht="10.5" customHeight="1">
      <c r="B95" s="324"/>
      <c r="C95" s="324"/>
      <c r="D95" s="325"/>
      <c r="M95" s="327"/>
      <c r="N95" s="327"/>
      <c r="O95" s="327"/>
      <c r="P95" s="327"/>
      <c r="V95" s="327"/>
      <c r="W95" s="327"/>
      <c r="X95" s="327"/>
      <c r="Y95" s="327"/>
      <c r="Z95" s="327"/>
      <c r="AA95" s="327"/>
      <c r="BB95" s="327"/>
      <c r="BH95" s="327"/>
      <c r="BJ95" s="319"/>
      <c r="BK95" s="319"/>
      <c r="BL95" s="319"/>
      <c r="BM95" s="319"/>
      <c r="BN95" s="319"/>
      <c r="BO95" s="319"/>
      <c r="BP95" s="319"/>
      <c r="BQ95" s="319"/>
      <c r="BR95" s="319"/>
      <c r="BS95" s="319"/>
      <c r="BT95" s="319"/>
      <c r="BU95" s="319"/>
      <c r="BV95" s="319"/>
      <c r="BW95" s="319"/>
      <c r="BX95" s="319"/>
      <c r="BY95" s="319"/>
      <c r="BZ95" s="319"/>
      <c r="CA95" s="319"/>
      <c r="CB95" s="319"/>
      <c r="CC95" s="319"/>
      <c r="CD95" s="319"/>
      <c r="CE95" s="319"/>
    </row>
    <row r="96" spans="2:83" s="326" customFormat="1" ht="10.5" customHeight="1">
      <c r="B96" s="324"/>
      <c r="C96" s="324"/>
      <c r="D96" s="325"/>
      <c r="M96" s="327"/>
      <c r="N96" s="327"/>
      <c r="O96" s="327"/>
      <c r="P96" s="327"/>
      <c r="V96" s="327"/>
      <c r="W96" s="327"/>
      <c r="X96" s="327"/>
      <c r="Y96" s="327"/>
      <c r="Z96" s="327"/>
      <c r="AA96" s="327"/>
      <c r="BB96" s="327"/>
      <c r="BH96" s="327"/>
      <c r="BJ96" s="319"/>
      <c r="BK96" s="319"/>
      <c r="BL96" s="319"/>
      <c r="BM96" s="319"/>
      <c r="BN96" s="319"/>
      <c r="BO96" s="319"/>
      <c r="BP96" s="319"/>
      <c r="BQ96" s="319"/>
      <c r="BR96" s="319"/>
      <c r="BS96" s="319"/>
      <c r="BT96" s="319"/>
      <c r="BU96" s="319"/>
      <c r="BV96" s="319"/>
      <c r="BW96" s="319"/>
      <c r="BX96" s="319"/>
      <c r="BY96" s="319"/>
      <c r="BZ96" s="319"/>
      <c r="CA96" s="319"/>
      <c r="CB96" s="319"/>
      <c r="CC96" s="319"/>
      <c r="CD96" s="319"/>
      <c r="CE96" s="319"/>
    </row>
    <row r="97" spans="2:83" s="326" customFormat="1" ht="10.5" customHeight="1">
      <c r="B97" s="324"/>
      <c r="C97" s="324"/>
      <c r="D97" s="325"/>
      <c r="M97" s="327"/>
      <c r="N97" s="327"/>
      <c r="O97" s="327"/>
      <c r="P97" s="327"/>
      <c r="V97" s="327"/>
      <c r="W97" s="327"/>
      <c r="X97" s="327"/>
      <c r="Y97" s="327"/>
      <c r="Z97" s="327"/>
      <c r="AA97" s="327"/>
      <c r="BB97" s="327"/>
      <c r="BH97" s="327"/>
      <c r="BJ97" s="319"/>
      <c r="BK97" s="319"/>
      <c r="BL97" s="319"/>
      <c r="BM97" s="319"/>
      <c r="BN97" s="319"/>
      <c r="BO97" s="319"/>
      <c r="BP97" s="319"/>
      <c r="BQ97" s="319"/>
      <c r="BR97" s="319"/>
      <c r="BS97" s="319"/>
      <c r="BT97" s="319"/>
      <c r="BU97" s="319"/>
      <c r="BV97" s="319"/>
      <c r="BW97" s="319"/>
      <c r="BX97" s="319"/>
      <c r="BY97" s="319"/>
      <c r="BZ97" s="319"/>
      <c r="CA97" s="319"/>
      <c r="CB97" s="319"/>
      <c r="CC97" s="319"/>
      <c r="CD97" s="319"/>
      <c r="CE97" s="319"/>
    </row>
    <row r="98" spans="2:83" s="326" customFormat="1" ht="10.5" customHeight="1">
      <c r="B98" s="324"/>
      <c r="C98" s="324"/>
      <c r="D98" s="325"/>
      <c r="M98" s="327"/>
      <c r="N98" s="327"/>
      <c r="O98" s="327"/>
      <c r="P98" s="327"/>
      <c r="V98" s="327"/>
      <c r="W98" s="327"/>
      <c r="X98" s="327"/>
      <c r="Y98" s="327"/>
      <c r="Z98" s="327"/>
      <c r="AA98" s="327"/>
      <c r="BB98" s="327"/>
      <c r="BH98" s="327"/>
      <c r="BJ98" s="319"/>
      <c r="BK98" s="319"/>
      <c r="BL98" s="319"/>
      <c r="BM98" s="319"/>
      <c r="BN98" s="319"/>
      <c r="BO98" s="319"/>
      <c r="BP98" s="319"/>
      <c r="BQ98" s="319"/>
      <c r="BR98" s="319"/>
      <c r="BS98" s="319"/>
      <c r="BT98" s="319"/>
      <c r="BU98" s="319"/>
      <c r="BV98" s="319"/>
      <c r="BW98" s="319"/>
      <c r="BX98" s="319"/>
      <c r="BY98" s="319"/>
      <c r="BZ98" s="319"/>
      <c r="CA98" s="319"/>
      <c r="CB98" s="319"/>
      <c r="CC98" s="319"/>
      <c r="CD98" s="319"/>
      <c r="CE98" s="319"/>
    </row>
    <row r="99" spans="2:83" s="326" customFormat="1">
      <c r="B99" s="324"/>
      <c r="C99" s="324"/>
      <c r="D99" s="325"/>
      <c r="M99" s="327"/>
      <c r="N99" s="327"/>
      <c r="O99" s="327"/>
      <c r="P99" s="327"/>
      <c r="V99" s="327"/>
      <c r="W99" s="327"/>
      <c r="X99" s="327"/>
      <c r="Y99" s="327"/>
      <c r="Z99" s="327"/>
      <c r="AA99" s="327"/>
      <c r="BB99" s="327"/>
      <c r="BH99" s="327"/>
      <c r="BJ99" s="319"/>
      <c r="BK99" s="319"/>
      <c r="BL99" s="319"/>
      <c r="BM99" s="319"/>
      <c r="BN99" s="319"/>
      <c r="BO99" s="319"/>
      <c r="BP99" s="319"/>
      <c r="BQ99" s="319"/>
      <c r="BR99" s="319"/>
      <c r="BS99" s="319"/>
      <c r="BT99" s="319"/>
      <c r="BU99" s="319"/>
      <c r="BV99" s="319"/>
      <c r="BW99" s="319"/>
      <c r="BX99" s="319"/>
      <c r="BY99" s="319"/>
      <c r="BZ99" s="319"/>
      <c r="CA99" s="319"/>
      <c r="CB99" s="319"/>
      <c r="CC99" s="319"/>
      <c r="CD99" s="319"/>
      <c r="CE99" s="319"/>
    </row>
    <row r="100" spans="2:83" s="326" customFormat="1">
      <c r="B100" s="324"/>
      <c r="C100" s="324"/>
      <c r="D100" s="325"/>
      <c r="M100" s="327"/>
      <c r="N100" s="327"/>
      <c r="O100" s="327"/>
      <c r="P100" s="327"/>
      <c r="V100" s="327"/>
      <c r="W100" s="327"/>
      <c r="X100" s="327"/>
      <c r="Y100" s="327"/>
      <c r="Z100" s="327"/>
      <c r="AA100" s="327"/>
      <c r="BB100" s="327"/>
      <c r="BH100" s="327"/>
      <c r="BJ100" s="319"/>
      <c r="BK100" s="319"/>
      <c r="BL100" s="319"/>
      <c r="BM100" s="319"/>
      <c r="BN100" s="319"/>
      <c r="BO100" s="319"/>
      <c r="BP100" s="319"/>
      <c r="BQ100" s="319"/>
      <c r="BR100" s="319"/>
      <c r="BS100" s="319"/>
      <c r="BT100" s="319"/>
      <c r="BU100" s="319"/>
      <c r="BV100" s="319"/>
      <c r="BW100" s="319"/>
      <c r="BX100" s="319"/>
      <c r="BY100" s="319"/>
      <c r="BZ100" s="319"/>
      <c r="CA100" s="319"/>
      <c r="CB100" s="319"/>
      <c r="CC100" s="319"/>
      <c r="CD100" s="319"/>
      <c r="CE100" s="319"/>
    </row>
    <row r="101" spans="2:83" s="326" customFormat="1">
      <c r="B101" s="324"/>
      <c r="C101" s="324"/>
      <c r="D101" s="325"/>
      <c r="M101" s="327"/>
      <c r="N101" s="327"/>
      <c r="O101" s="327"/>
      <c r="P101" s="327"/>
      <c r="V101" s="327"/>
      <c r="W101" s="327"/>
      <c r="X101" s="327"/>
      <c r="Y101" s="327"/>
      <c r="Z101" s="327"/>
      <c r="AA101" s="327"/>
      <c r="BB101" s="327"/>
      <c r="BH101" s="327"/>
      <c r="BJ101" s="319"/>
      <c r="BK101" s="319"/>
      <c r="BL101" s="319"/>
      <c r="BM101" s="319"/>
      <c r="BN101" s="319"/>
      <c r="BO101" s="319"/>
      <c r="BP101" s="319"/>
      <c r="BQ101" s="319"/>
      <c r="BR101" s="319"/>
      <c r="BS101" s="319"/>
      <c r="BT101" s="319"/>
      <c r="BU101" s="319"/>
      <c r="BV101" s="319"/>
      <c r="BW101" s="319"/>
      <c r="BX101" s="319"/>
      <c r="BY101" s="319"/>
      <c r="BZ101" s="319"/>
      <c r="CA101" s="319"/>
      <c r="CB101" s="319"/>
      <c r="CC101" s="319"/>
      <c r="CD101" s="319"/>
      <c r="CE101" s="319"/>
    </row>
    <row r="102" spans="2:83" s="326" customFormat="1">
      <c r="B102" s="324"/>
      <c r="C102" s="324"/>
      <c r="D102" s="325"/>
      <c r="M102" s="327"/>
      <c r="N102" s="327"/>
      <c r="O102" s="327"/>
      <c r="P102" s="327"/>
      <c r="V102" s="327"/>
      <c r="W102" s="327"/>
      <c r="X102" s="327"/>
      <c r="Y102" s="327"/>
      <c r="Z102" s="327"/>
      <c r="AA102" s="327"/>
      <c r="BB102" s="327"/>
      <c r="BH102" s="327"/>
      <c r="BJ102" s="319"/>
      <c r="BK102" s="319"/>
      <c r="BL102" s="319"/>
      <c r="BM102" s="319"/>
      <c r="BN102" s="319"/>
      <c r="BO102" s="319"/>
      <c r="BP102" s="319"/>
      <c r="BQ102" s="319"/>
      <c r="BR102" s="319"/>
      <c r="BS102" s="319"/>
      <c r="BT102" s="319"/>
      <c r="BU102" s="319"/>
      <c r="BV102" s="319"/>
      <c r="BW102" s="319"/>
      <c r="BX102" s="319"/>
      <c r="BY102" s="319"/>
      <c r="BZ102" s="319"/>
      <c r="CA102" s="319"/>
      <c r="CB102" s="319"/>
      <c r="CC102" s="319"/>
      <c r="CD102" s="319"/>
      <c r="CE102" s="319"/>
    </row>
    <row r="103" spans="2:83" s="326" customFormat="1">
      <c r="B103" s="324"/>
      <c r="C103" s="324"/>
      <c r="D103" s="325"/>
      <c r="M103" s="327"/>
      <c r="N103" s="327"/>
      <c r="O103" s="327"/>
      <c r="P103" s="327"/>
      <c r="V103" s="327"/>
      <c r="W103" s="327"/>
      <c r="X103" s="327"/>
      <c r="Y103" s="327"/>
      <c r="Z103" s="327"/>
      <c r="AA103" s="327"/>
      <c r="BB103" s="327"/>
      <c r="BH103" s="327"/>
      <c r="BJ103" s="319"/>
      <c r="BK103" s="319"/>
      <c r="BL103" s="319"/>
      <c r="BM103" s="319"/>
      <c r="BN103" s="319"/>
      <c r="BO103" s="319"/>
      <c r="BP103" s="319"/>
      <c r="BQ103" s="319"/>
      <c r="BR103" s="319"/>
      <c r="BS103" s="319"/>
      <c r="BT103" s="319"/>
      <c r="BU103" s="319"/>
      <c r="BV103" s="319"/>
      <c r="BW103" s="319"/>
      <c r="BX103" s="319"/>
      <c r="BY103" s="319"/>
      <c r="BZ103" s="319"/>
      <c r="CA103" s="319"/>
      <c r="CB103" s="319"/>
      <c r="CC103" s="319"/>
      <c r="CD103" s="319"/>
      <c r="CE103" s="319"/>
    </row>
    <row r="104" spans="2:83" s="326" customFormat="1">
      <c r="B104" s="324"/>
      <c r="C104" s="324"/>
      <c r="D104" s="325"/>
      <c r="M104" s="327"/>
      <c r="N104" s="327"/>
      <c r="O104" s="327"/>
      <c r="P104" s="327"/>
      <c r="V104" s="327"/>
      <c r="W104" s="327"/>
      <c r="X104" s="327"/>
      <c r="Y104" s="327"/>
      <c r="Z104" s="327"/>
      <c r="AA104" s="327"/>
      <c r="BB104" s="327"/>
      <c r="BH104" s="327"/>
      <c r="BJ104" s="319"/>
      <c r="BK104" s="319"/>
      <c r="BL104" s="319"/>
      <c r="BM104" s="319"/>
      <c r="BN104" s="319"/>
      <c r="BO104" s="319"/>
      <c r="BP104" s="319"/>
      <c r="BQ104" s="319"/>
      <c r="BR104" s="319"/>
      <c r="BS104" s="319"/>
      <c r="BT104" s="319"/>
      <c r="BU104" s="319"/>
      <c r="BV104" s="319"/>
      <c r="BW104" s="319"/>
      <c r="BX104" s="319"/>
      <c r="BY104" s="319"/>
      <c r="BZ104" s="319"/>
      <c r="CA104" s="319"/>
      <c r="CB104" s="319"/>
      <c r="CC104" s="319"/>
      <c r="CD104" s="319"/>
      <c r="CE104" s="319"/>
    </row>
    <row r="105" spans="2:83" s="326" customFormat="1">
      <c r="B105" s="324"/>
      <c r="C105" s="324"/>
      <c r="D105" s="325"/>
      <c r="M105" s="327"/>
      <c r="N105" s="327"/>
      <c r="O105" s="327"/>
      <c r="P105" s="327"/>
      <c r="V105" s="327"/>
      <c r="W105" s="327"/>
      <c r="X105" s="327"/>
      <c r="Y105" s="327"/>
      <c r="Z105" s="327"/>
      <c r="AA105" s="327"/>
      <c r="BB105" s="327"/>
      <c r="BH105" s="327"/>
      <c r="BJ105" s="319"/>
      <c r="BK105" s="319"/>
      <c r="BL105" s="319"/>
      <c r="BM105" s="319"/>
      <c r="BN105" s="319"/>
      <c r="BO105" s="319"/>
      <c r="BP105" s="319"/>
      <c r="BQ105" s="319"/>
      <c r="BR105" s="319"/>
      <c r="BS105" s="319"/>
      <c r="BT105" s="319"/>
      <c r="BU105" s="319"/>
      <c r="BV105" s="319"/>
      <c r="BW105" s="319"/>
      <c r="BX105" s="319"/>
      <c r="BY105" s="319"/>
      <c r="BZ105" s="319"/>
      <c r="CA105" s="319"/>
      <c r="CB105" s="319"/>
      <c r="CC105" s="319"/>
      <c r="CD105" s="319"/>
      <c r="CE105" s="319"/>
    </row>
    <row r="106" spans="2:83" s="326" customFormat="1">
      <c r="B106" s="324"/>
      <c r="C106" s="324"/>
      <c r="D106" s="325"/>
      <c r="M106" s="327"/>
      <c r="N106" s="327"/>
      <c r="O106" s="327"/>
      <c r="P106" s="327"/>
      <c r="V106" s="327"/>
      <c r="W106" s="327"/>
      <c r="X106" s="327"/>
      <c r="Y106" s="327"/>
      <c r="Z106" s="327"/>
      <c r="AA106" s="327"/>
      <c r="BB106" s="327"/>
      <c r="BH106" s="327"/>
      <c r="BJ106" s="319"/>
      <c r="BK106" s="319"/>
      <c r="BL106" s="319"/>
      <c r="BM106" s="319"/>
      <c r="BN106" s="319"/>
      <c r="BO106" s="319"/>
      <c r="BP106" s="319"/>
      <c r="BQ106" s="319"/>
      <c r="BR106" s="319"/>
      <c r="BS106" s="319"/>
      <c r="BT106" s="319"/>
      <c r="BU106" s="319"/>
      <c r="BV106" s="319"/>
      <c r="BW106" s="319"/>
      <c r="BX106" s="319"/>
      <c r="BY106" s="319"/>
      <c r="BZ106" s="319"/>
      <c r="CA106" s="319"/>
      <c r="CB106" s="319"/>
      <c r="CC106" s="319"/>
      <c r="CD106" s="319"/>
      <c r="CE106" s="319"/>
    </row>
    <row r="107" spans="2:83" s="326" customFormat="1">
      <c r="B107" s="324"/>
      <c r="C107" s="324"/>
      <c r="D107" s="325"/>
      <c r="M107" s="327"/>
      <c r="N107" s="327"/>
      <c r="O107" s="327"/>
      <c r="P107" s="327"/>
      <c r="V107" s="327"/>
      <c r="W107" s="327"/>
      <c r="X107" s="327"/>
      <c r="Y107" s="327"/>
      <c r="Z107" s="327"/>
      <c r="AA107" s="327"/>
      <c r="BB107" s="327"/>
      <c r="BH107" s="327"/>
      <c r="BJ107" s="319"/>
      <c r="BK107" s="319"/>
      <c r="BL107" s="319"/>
      <c r="BM107" s="319"/>
      <c r="BN107" s="319"/>
      <c r="BO107" s="319"/>
      <c r="BP107" s="319"/>
      <c r="BQ107" s="319"/>
      <c r="BR107" s="319"/>
      <c r="BS107" s="319"/>
      <c r="BT107" s="319"/>
      <c r="BU107" s="319"/>
      <c r="BV107" s="319"/>
      <c r="BW107" s="319"/>
      <c r="BX107" s="319"/>
      <c r="BY107" s="319"/>
      <c r="BZ107" s="319"/>
      <c r="CA107" s="319"/>
      <c r="CB107" s="319"/>
      <c r="CC107" s="319"/>
      <c r="CD107" s="319"/>
      <c r="CE107" s="319"/>
    </row>
    <row r="108" spans="2:83" s="326" customFormat="1">
      <c r="B108" s="324"/>
      <c r="C108" s="324"/>
      <c r="D108" s="325"/>
      <c r="M108" s="327"/>
      <c r="N108" s="327"/>
      <c r="O108" s="327"/>
      <c r="P108" s="327"/>
      <c r="V108" s="327"/>
      <c r="W108" s="327"/>
      <c r="X108" s="327"/>
      <c r="Y108" s="327"/>
      <c r="Z108" s="327"/>
      <c r="AA108" s="327"/>
      <c r="BB108" s="327"/>
      <c r="BH108" s="327"/>
      <c r="BJ108" s="319"/>
      <c r="BK108" s="319"/>
      <c r="BL108" s="319"/>
      <c r="BM108" s="319"/>
      <c r="BN108" s="319"/>
      <c r="BO108" s="319"/>
      <c r="BP108" s="319"/>
      <c r="BQ108" s="319"/>
      <c r="BR108" s="319"/>
      <c r="BS108" s="319"/>
      <c r="BT108" s="319"/>
      <c r="BU108" s="319"/>
      <c r="BV108" s="319"/>
      <c r="BW108" s="319"/>
      <c r="BX108" s="319"/>
      <c r="BY108" s="319"/>
      <c r="BZ108" s="319"/>
      <c r="CA108" s="319"/>
      <c r="CB108" s="319"/>
      <c r="CC108" s="319"/>
      <c r="CD108" s="319"/>
      <c r="CE108" s="319"/>
    </row>
    <row r="109" spans="2:83" s="326" customFormat="1">
      <c r="B109" s="324"/>
      <c r="C109" s="324"/>
      <c r="D109" s="325"/>
      <c r="M109" s="327"/>
      <c r="N109" s="327"/>
      <c r="O109" s="327"/>
      <c r="P109" s="327"/>
      <c r="V109" s="327"/>
      <c r="W109" s="327"/>
      <c r="X109" s="327"/>
      <c r="Y109" s="327"/>
      <c r="Z109" s="327"/>
      <c r="AA109" s="327"/>
      <c r="BB109" s="327"/>
      <c r="BH109" s="327"/>
      <c r="BJ109" s="319"/>
      <c r="BK109" s="319"/>
      <c r="BL109" s="319"/>
      <c r="BM109" s="319"/>
      <c r="BN109" s="319"/>
      <c r="BO109" s="319"/>
      <c r="BP109" s="319"/>
      <c r="BQ109" s="319"/>
      <c r="BR109" s="319"/>
      <c r="BS109" s="319"/>
      <c r="BT109" s="319"/>
      <c r="BU109" s="319"/>
      <c r="BV109" s="319"/>
      <c r="BW109" s="319"/>
      <c r="BX109" s="319"/>
      <c r="BY109" s="319"/>
      <c r="BZ109" s="319"/>
      <c r="CA109" s="319"/>
      <c r="CB109" s="319"/>
      <c r="CC109" s="319"/>
      <c r="CD109" s="319"/>
      <c r="CE109" s="319"/>
    </row>
    <row r="110" spans="2:83" s="326" customFormat="1">
      <c r="B110" s="324"/>
      <c r="C110" s="324"/>
      <c r="D110" s="325"/>
      <c r="M110" s="327"/>
      <c r="N110" s="327"/>
      <c r="O110" s="327"/>
      <c r="P110" s="327"/>
      <c r="V110" s="327"/>
      <c r="W110" s="327"/>
      <c r="X110" s="327"/>
      <c r="Y110" s="327"/>
      <c r="Z110" s="327"/>
      <c r="AA110" s="327"/>
      <c r="BB110" s="327"/>
      <c r="BH110" s="327"/>
      <c r="BJ110" s="319"/>
      <c r="BK110" s="319"/>
      <c r="BL110" s="319"/>
      <c r="BM110" s="319"/>
      <c r="BN110" s="319"/>
      <c r="BO110" s="319"/>
      <c r="BP110" s="319"/>
      <c r="BQ110" s="319"/>
      <c r="BR110" s="319"/>
      <c r="BS110" s="319"/>
      <c r="BT110" s="319"/>
      <c r="BU110" s="319"/>
      <c r="BV110" s="319"/>
      <c r="BW110" s="319"/>
      <c r="BX110" s="319"/>
      <c r="BY110" s="319"/>
      <c r="BZ110" s="319"/>
      <c r="CA110" s="319"/>
      <c r="CB110" s="319"/>
      <c r="CC110" s="319"/>
      <c r="CD110" s="319"/>
      <c r="CE110" s="319"/>
    </row>
    <row r="111" spans="2:83" s="326" customFormat="1">
      <c r="B111" s="324"/>
      <c r="C111" s="324"/>
      <c r="D111" s="325"/>
      <c r="M111" s="327"/>
      <c r="N111" s="327"/>
      <c r="O111" s="327"/>
      <c r="P111" s="327"/>
      <c r="V111" s="327"/>
      <c r="W111" s="327"/>
      <c r="X111" s="327"/>
      <c r="Y111" s="327"/>
      <c r="Z111" s="327"/>
      <c r="AA111" s="327"/>
      <c r="BB111" s="327"/>
      <c r="BH111" s="327"/>
      <c r="BJ111" s="319"/>
      <c r="BK111" s="319"/>
      <c r="BL111" s="319"/>
      <c r="BM111" s="319"/>
      <c r="BN111" s="319"/>
      <c r="BO111" s="319"/>
      <c r="BP111" s="319"/>
      <c r="BQ111" s="319"/>
      <c r="BR111" s="319"/>
      <c r="BS111" s="319"/>
      <c r="BT111" s="319"/>
      <c r="BU111" s="319"/>
      <c r="BV111" s="319"/>
      <c r="BW111" s="319"/>
      <c r="BX111" s="319"/>
      <c r="BY111" s="319"/>
      <c r="BZ111" s="319"/>
      <c r="CA111" s="319"/>
      <c r="CB111" s="319"/>
      <c r="CC111" s="319"/>
      <c r="CD111" s="319"/>
      <c r="CE111" s="319"/>
    </row>
    <row r="112" spans="2:83" s="326" customFormat="1">
      <c r="B112" s="324"/>
      <c r="C112" s="324"/>
      <c r="D112" s="325"/>
      <c r="M112" s="327"/>
      <c r="N112" s="327"/>
      <c r="O112" s="327"/>
      <c r="P112" s="327"/>
      <c r="V112" s="327"/>
      <c r="W112" s="327"/>
      <c r="X112" s="327"/>
      <c r="Y112" s="327"/>
      <c r="Z112" s="327"/>
      <c r="AA112" s="327"/>
      <c r="BB112" s="327"/>
      <c r="BH112" s="327"/>
      <c r="BJ112" s="319"/>
      <c r="BK112" s="319"/>
      <c r="BL112" s="319"/>
      <c r="BM112" s="319"/>
      <c r="BN112" s="319"/>
      <c r="BO112" s="319"/>
      <c r="BP112" s="319"/>
      <c r="BQ112" s="319"/>
      <c r="BR112" s="319"/>
      <c r="BS112" s="319"/>
      <c r="BT112" s="319"/>
      <c r="BU112" s="319"/>
      <c r="BV112" s="319"/>
      <c r="BW112" s="319"/>
      <c r="BX112" s="319"/>
      <c r="BY112" s="319"/>
      <c r="BZ112" s="319"/>
      <c r="CA112" s="319"/>
      <c r="CB112" s="319"/>
      <c r="CC112" s="319"/>
      <c r="CD112" s="319"/>
      <c r="CE112" s="319"/>
    </row>
    <row r="113" spans="2:83" s="326" customFormat="1">
      <c r="B113" s="324"/>
      <c r="C113" s="324"/>
      <c r="D113" s="325"/>
      <c r="M113" s="327"/>
      <c r="N113" s="327"/>
      <c r="O113" s="327"/>
      <c r="P113" s="327"/>
      <c r="V113" s="327"/>
      <c r="W113" s="327"/>
      <c r="X113" s="327"/>
      <c r="Y113" s="327"/>
      <c r="Z113" s="327"/>
      <c r="AA113" s="327"/>
      <c r="BB113" s="327"/>
      <c r="BH113" s="327"/>
      <c r="BJ113" s="319"/>
      <c r="BK113" s="319"/>
      <c r="BL113" s="319"/>
      <c r="BM113" s="319"/>
      <c r="BN113" s="319"/>
      <c r="BO113" s="319"/>
      <c r="BP113" s="319"/>
      <c r="BQ113" s="319"/>
      <c r="BR113" s="319"/>
      <c r="BS113" s="319"/>
      <c r="BT113" s="319"/>
      <c r="BU113" s="319"/>
      <c r="BV113" s="319"/>
      <c r="BW113" s="319"/>
      <c r="BX113" s="319"/>
      <c r="BY113" s="319"/>
      <c r="BZ113" s="319"/>
      <c r="CA113" s="319"/>
      <c r="CB113" s="319"/>
      <c r="CC113" s="319"/>
      <c r="CD113" s="319"/>
      <c r="CE113" s="319"/>
    </row>
    <row r="114" spans="2:83" s="326" customFormat="1">
      <c r="B114" s="324"/>
      <c r="C114" s="324"/>
      <c r="D114" s="325"/>
      <c r="M114" s="327"/>
      <c r="N114" s="327"/>
      <c r="O114" s="327"/>
      <c r="P114" s="327"/>
      <c r="V114" s="327"/>
      <c r="W114" s="327"/>
      <c r="X114" s="327"/>
      <c r="Y114" s="327"/>
      <c r="Z114" s="327"/>
      <c r="AA114" s="327"/>
      <c r="BB114" s="327"/>
      <c r="BH114" s="327"/>
      <c r="BJ114" s="319"/>
      <c r="BK114" s="319"/>
      <c r="BL114" s="319"/>
      <c r="BM114" s="319"/>
      <c r="BN114" s="319"/>
      <c r="BO114" s="319"/>
      <c r="BP114" s="319"/>
      <c r="BQ114" s="319"/>
      <c r="BR114" s="319"/>
      <c r="BS114" s="319"/>
      <c r="BT114" s="319"/>
      <c r="BU114" s="319"/>
      <c r="BV114" s="319"/>
      <c r="BW114" s="319"/>
      <c r="BX114" s="319"/>
      <c r="BY114" s="319"/>
      <c r="BZ114" s="319"/>
      <c r="CA114" s="319"/>
      <c r="CB114" s="319"/>
      <c r="CC114" s="319"/>
      <c r="CD114" s="319"/>
      <c r="CE114" s="319"/>
    </row>
    <row r="115" spans="2:83" s="326" customFormat="1">
      <c r="B115" s="324"/>
      <c r="C115" s="324"/>
      <c r="D115" s="325"/>
      <c r="M115" s="327"/>
      <c r="N115" s="327"/>
      <c r="O115" s="327"/>
      <c r="P115" s="327"/>
      <c r="V115" s="327"/>
      <c r="W115" s="327"/>
      <c r="X115" s="327"/>
      <c r="Y115" s="327"/>
      <c r="Z115" s="327"/>
      <c r="AA115" s="327"/>
      <c r="BB115" s="327"/>
      <c r="BH115" s="327"/>
      <c r="BJ115" s="319"/>
      <c r="BK115" s="319"/>
      <c r="BL115" s="319"/>
      <c r="BM115" s="319"/>
      <c r="BN115" s="319"/>
      <c r="BO115" s="319"/>
      <c r="BP115" s="319"/>
      <c r="BQ115" s="319"/>
      <c r="BR115" s="319"/>
      <c r="BS115" s="319"/>
      <c r="BT115" s="319"/>
      <c r="BU115" s="319"/>
      <c r="BV115" s="319"/>
      <c r="BW115" s="319"/>
      <c r="BX115" s="319"/>
      <c r="BY115" s="319"/>
      <c r="BZ115" s="319"/>
      <c r="CA115" s="319"/>
      <c r="CB115" s="319"/>
      <c r="CC115" s="319"/>
      <c r="CD115" s="319"/>
      <c r="CE115" s="319"/>
    </row>
    <row r="116" spans="2:83" s="326" customFormat="1">
      <c r="B116" s="324"/>
      <c r="C116" s="324"/>
      <c r="D116" s="325"/>
      <c r="M116" s="327"/>
      <c r="N116" s="327"/>
      <c r="O116" s="327"/>
      <c r="P116" s="327"/>
      <c r="V116" s="327"/>
      <c r="W116" s="327"/>
      <c r="X116" s="327"/>
      <c r="Y116" s="327"/>
      <c r="Z116" s="327"/>
      <c r="AA116" s="327"/>
      <c r="BB116" s="327"/>
      <c r="BH116" s="327"/>
      <c r="BJ116" s="319"/>
      <c r="BK116" s="319"/>
      <c r="BL116" s="319"/>
      <c r="BM116" s="319"/>
      <c r="BN116" s="319"/>
      <c r="BO116" s="319"/>
      <c r="BP116" s="319"/>
      <c r="BQ116" s="319"/>
      <c r="BR116" s="319"/>
      <c r="BS116" s="319"/>
      <c r="BT116" s="319"/>
      <c r="BU116" s="319"/>
      <c r="BV116" s="319"/>
      <c r="BW116" s="319"/>
      <c r="BX116" s="319"/>
      <c r="BY116" s="319"/>
      <c r="BZ116" s="319"/>
      <c r="CA116" s="319"/>
      <c r="CB116" s="319"/>
      <c r="CC116" s="319"/>
      <c r="CD116" s="319"/>
      <c r="CE116" s="319"/>
    </row>
    <row r="117" spans="2:83" s="326" customFormat="1">
      <c r="B117" s="324"/>
      <c r="C117" s="324"/>
      <c r="D117" s="325"/>
      <c r="M117" s="327"/>
      <c r="N117" s="327"/>
      <c r="O117" s="327"/>
      <c r="P117" s="327"/>
      <c r="V117" s="327"/>
      <c r="W117" s="327"/>
      <c r="X117" s="327"/>
      <c r="Y117" s="327"/>
      <c r="Z117" s="327"/>
      <c r="AA117" s="327"/>
      <c r="BB117" s="327"/>
      <c r="BH117" s="327"/>
      <c r="BJ117" s="319"/>
      <c r="BK117" s="319"/>
      <c r="BL117" s="319"/>
      <c r="BM117" s="319"/>
      <c r="BN117" s="319"/>
      <c r="BO117" s="319"/>
      <c r="BP117" s="319"/>
      <c r="BQ117" s="319"/>
      <c r="BR117" s="319"/>
      <c r="BS117" s="319"/>
      <c r="BT117" s="319"/>
      <c r="BU117" s="319"/>
      <c r="BV117" s="319"/>
      <c r="BW117" s="319"/>
      <c r="BX117" s="319"/>
      <c r="BY117" s="319"/>
      <c r="BZ117" s="319"/>
      <c r="CA117" s="319"/>
      <c r="CB117" s="319"/>
      <c r="CC117" s="319"/>
      <c r="CD117" s="319"/>
      <c r="CE117" s="319"/>
    </row>
    <row r="118" spans="2:83" s="326" customFormat="1">
      <c r="B118" s="324"/>
      <c r="C118" s="324"/>
      <c r="D118" s="325"/>
      <c r="M118" s="327"/>
      <c r="N118" s="327"/>
      <c r="O118" s="327"/>
      <c r="P118" s="327"/>
      <c r="V118" s="327"/>
      <c r="W118" s="327"/>
      <c r="X118" s="327"/>
      <c r="Y118" s="327"/>
      <c r="Z118" s="327"/>
      <c r="AA118" s="327"/>
      <c r="BB118" s="327"/>
      <c r="BH118" s="327"/>
      <c r="BJ118" s="319"/>
      <c r="BK118" s="319"/>
      <c r="BL118" s="319"/>
      <c r="BM118" s="319"/>
      <c r="BN118" s="319"/>
      <c r="BO118" s="319"/>
      <c r="BP118" s="319"/>
      <c r="BQ118" s="319"/>
      <c r="BR118" s="319"/>
      <c r="BS118" s="319"/>
      <c r="BT118" s="319"/>
      <c r="BU118" s="319"/>
      <c r="BV118" s="319"/>
      <c r="BW118" s="319"/>
      <c r="BX118" s="319"/>
      <c r="BY118" s="319"/>
      <c r="BZ118" s="319"/>
      <c r="CA118" s="319"/>
      <c r="CB118" s="319"/>
      <c r="CC118" s="319"/>
      <c r="CD118" s="319"/>
      <c r="CE118" s="319"/>
    </row>
    <row r="119" spans="2:83" s="326" customFormat="1">
      <c r="B119" s="324"/>
      <c r="C119" s="324"/>
      <c r="D119" s="325"/>
      <c r="M119" s="327"/>
      <c r="N119" s="327"/>
      <c r="O119" s="327"/>
      <c r="P119" s="327"/>
      <c r="V119" s="327"/>
      <c r="W119" s="327"/>
      <c r="X119" s="327"/>
      <c r="Y119" s="327"/>
      <c r="Z119" s="327"/>
      <c r="AA119" s="327"/>
      <c r="BB119" s="327"/>
      <c r="BH119" s="327"/>
      <c r="BJ119" s="319"/>
      <c r="BK119" s="319"/>
      <c r="BL119" s="319"/>
      <c r="BM119" s="319"/>
      <c r="BN119" s="319"/>
      <c r="BO119" s="319"/>
      <c r="BP119" s="319"/>
      <c r="BQ119" s="319"/>
      <c r="BR119" s="319"/>
      <c r="BS119" s="319"/>
      <c r="BT119" s="319"/>
      <c r="BU119" s="319"/>
      <c r="BV119" s="319"/>
      <c r="BW119" s="319"/>
      <c r="BX119" s="319"/>
      <c r="BY119" s="319"/>
      <c r="BZ119" s="319"/>
      <c r="CA119" s="319"/>
      <c r="CB119" s="319"/>
      <c r="CC119" s="319"/>
      <c r="CD119" s="319"/>
      <c r="CE119" s="319"/>
    </row>
    <row r="120" spans="2:83" s="326" customFormat="1">
      <c r="B120" s="324"/>
      <c r="C120" s="324"/>
      <c r="D120" s="325"/>
      <c r="M120" s="327"/>
      <c r="N120" s="327"/>
      <c r="O120" s="327"/>
      <c r="P120" s="327"/>
      <c r="V120" s="327"/>
      <c r="W120" s="327"/>
      <c r="X120" s="327"/>
      <c r="Y120" s="327"/>
      <c r="Z120" s="327"/>
      <c r="AA120" s="327"/>
      <c r="BB120" s="327"/>
      <c r="BH120" s="327"/>
      <c r="BJ120" s="319"/>
      <c r="BK120" s="319"/>
      <c r="BL120" s="319"/>
      <c r="BM120" s="319"/>
      <c r="BN120" s="319"/>
      <c r="BO120" s="319"/>
      <c r="BP120" s="319"/>
      <c r="BQ120" s="319"/>
      <c r="BR120" s="319"/>
      <c r="BS120" s="319"/>
      <c r="BT120" s="319"/>
      <c r="BU120" s="319"/>
      <c r="BV120" s="319"/>
      <c r="BW120" s="319"/>
      <c r="BX120" s="319"/>
      <c r="BY120" s="319"/>
      <c r="BZ120" s="319"/>
      <c r="CA120" s="319"/>
      <c r="CB120" s="319"/>
      <c r="CC120" s="319"/>
      <c r="CD120" s="319"/>
      <c r="CE120" s="319"/>
    </row>
    <row r="121" spans="2:83" s="326" customFormat="1">
      <c r="B121" s="324"/>
      <c r="C121" s="324"/>
      <c r="D121" s="325"/>
      <c r="M121" s="327"/>
      <c r="N121" s="327"/>
      <c r="O121" s="327"/>
      <c r="P121" s="327"/>
      <c r="V121" s="327"/>
      <c r="W121" s="327"/>
      <c r="X121" s="327"/>
      <c r="Y121" s="327"/>
      <c r="Z121" s="327"/>
      <c r="AA121" s="327"/>
      <c r="BB121" s="327"/>
      <c r="BH121" s="327"/>
      <c r="BJ121" s="319"/>
      <c r="BK121" s="319"/>
      <c r="BL121" s="319"/>
      <c r="BM121" s="319"/>
      <c r="BN121" s="319"/>
      <c r="BO121" s="319"/>
      <c r="BP121" s="319"/>
      <c r="BQ121" s="319"/>
      <c r="BR121" s="319"/>
      <c r="BS121" s="319"/>
      <c r="BT121" s="319"/>
      <c r="BU121" s="319"/>
      <c r="BV121" s="319"/>
      <c r="BW121" s="319"/>
      <c r="BX121" s="319"/>
      <c r="BY121" s="319"/>
      <c r="BZ121" s="319"/>
      <c r="CA121" s="319"/>
      <c r="CB121" s="319"/>
      <c r="CC121" s="319"/>
      <c r="CD121" s="319"/>
      <c r="CE121" s="319"/>
    </row>
    <row r="122" spans="2:83" s="326" customFormat="1">
      <c r="B122" s="324"/>
      <c r="C122" s="324"/>
      <c r="D122" s="325"/>
      <c r="M122" s="327"/>
      <c r="N122" s="327"/>
      <c r="O122" s="327"/>
      <c r="P122" s="327"/>
      <c r="V122" s="327"/>
      <c r="W122" s="327"/>
      <c r="X122" s="327"/>
      <c r="Y122" s="327"/>
      <c r="Z122" s="327"/>
      <c r="AA122" s="327"/>
      <c r="BB122" s="327"/>
      <c r="BH122" s="327"/>
      <c r="BJ122" s="319"/>
      <c r="BK122" s="319"/>
      <c r="BL122" s="319"/>
      <c r="BM122" s="319"/>
      <c r="BN122" s="319"/>
      <c r="BO122" s="319"/>
      <c r="BP122" s="319"/>
      <c r="BQ122" s="319"/>
      <c r="BR122" s="319"/>
      <c r="BS122" s="319"/>
      <c r="BT122" s="319"/>
      <c r="BU122" s="319"/>
      <c r="BV122" s="319"/>
      <c r="BW122" s="319"/>
      <c r="BX122" s="319"/>
      <c r="BY122" s="319"/>
      <c r="BZ122" s="319"/>
      <c r="CA122" s="319"/>
      <c r="CB122" s="319"/>
      <c r="CC122" s="319"/>
      <c r="CD122" s="319"/>
      <c r="CE122" s="319"/>
    </row>
    <row r="123" spans="2:83" s="326" customFormat="1">
      <c r="B123" s="324"/>
      <c r="C123" s="324"/>
      <c r="D123" s="325"/>
      <c r="M123" s="327"/>
      <c r="N123" s="327"/>
      <c r="O123" s="327"/>
      <c r="P123" s="327"/>
      <c r="V123" s="327"/>
      <c r="W123" s="327"/>
      <c r="X123" s="327"/>
      <c r="Y123" s="327"/>
      <c r="Z123" s="327"/>
      <c r="AA123" s="327"/>
      <c r="BB123" s="327"/>
      <c r="BH123" s="327"/>
      <c r="BJ123" s="319"/>
      <c r="BK123" s="319"/>
      <c r="BL123" s="319"/>
      <c r="BM123" s="319"/>
      <c r="BN123" s="319"/>
      <c r="BO123" s="319"/>
      <c r="BP123" s="319"/>
      <c r="BQ123" s="319"/>
      <c r="BR123" s="319"/>
      <c r="BS123" s="319"/>
      <c r="BT123" s="319"/>
      <c r="BU123" s="319"/>
      <c r="BV123" s="319"/>
      <c r="BW123" s="319"/>
      <c r="BX123" s="319"/>
      <c r="BY123" s="319"/>
      <c r="BZ123" s="319"/>
      <c r="CA123" s="319"/>
      <c r="CB123" s="319"/>
      <c r="CC123" s="319"/>
      <c r="CD123" s="319"/>
      <c r="CE123" s="319"/>
    </row>
    <row r="124" spans="2:83" s="326" customFormat="1">
      <c r="B124" s="324"/>
      <c r="C124" s="324"/>
      <c r="D124" s="325"/>
      <c r="M124" s="327"/>
      <c r="N124" s="327"/>
      <c r="O124" s="327"/>
      <c r="P124" s="327"/>
      <c r="V124" s="327"/>
      <c r="W124" s="327"/>
      <c r="X124" s="327"/>
      <c r="Y124" s="327"/>
      <c r="Z124" s="327"/>
      <c r="AA124" s="327"/>
      <c r="BB124" s="327"/>
      <c r="BH124" s="327"/>
      <c r="BJ124" s="319"/>
      <c r="BK124" s="319"/>
      <c r="BL124" s="319"/>
      <c r="BM124" s="319"/>
      <c r="BN124" s="319"/>
      <c r="BO124" s="319"/>
      <c r="BP124" s="319"/>
      <c r="BQ124" s="319"/>
      <c r="BR124" s="319"/>
      <c r="BS124" s="319"/>
      <c r="BT124" s="319"/>
      <c r="BU124" s="319"/>
      <c r="BV124" s="319"/>
      <c r="BW124" s="319"/>
      <c r="BX124" s="319"/>
      <c r="BY124" s="319"/>
      <c r="BZ124" s="319"/>
      <c r="CA124" s="319"/>
      <c r="CB124" s="319"/>
      <c r="CC124" s="319"/>
      <c r="CD124" s="319"/>
      <c r="CE124" s="319"/>
    </row>
    <row r="125" spans="2:83" s="326" customFormat="1">
      <c r="B125" s="324"/>
      <c r="C125" s="324"/>
      <c r="D125" s="325"/>
      <c r="M125" s="327"/>
      <c r="N125" s="327"/>
      <c r="O125" s="327"/>
      <c r="P125" s="327"/>
      <c r="V125" s="327"/>
      <c r="W125" s="327"/>
      <c r="X125" s="327"/>
      <c r="Y125" s="327"/>
      <c r="Z125" s="327"/>
      <c r="AA125" s="327"/>
      <c r="BB125" s="327"/>
      <c r="BH125" s="327"/>
      <c r="BJ125" s="319"/>
      <c r="BK125" s="319"/>
      <c r="BL125" s="319"/>
      <c r="BM125" s="319"/>
      <c r="BN125" s="319"/>
      <c r="BO125" s="319"/>
      <c r="BP125" s="319"/>
      <c r="BQ125" s="319"/>
      <c r="BR125" s="319"/>
      <c r="BS125" s="319"/>
      <c r="BT125" s="319"/>
      <c r="BU125" s="319"/>
      <c r="BV125" s="319"/>
      <c r="BW125" s="319"/>
      <c r="BX125" s="319"/>
      <c r="BY125" s="319"/>
      <c r="BZ125" s="319"/>
      <c r="CA125" s="319"/>
      <c r="CB125" s="319"/>
      <c r="CC125" s="319"/>
      <c r="CD125" s="319"/>
      <c r="CE125" s="319"/>
    </row>
    <row r="126" spans="2:83" s="326" customFormat="1">
      <c r="B126" s="324"/>
      <c r="C126" s="324"/>
      <c r="D126" s="325"/>
      <c r="M126" s="327"/>
      <c r="N126" s="327"/>
      <c r="O126" s="327"/>
      <c r="P126" s="327"/>
      <c r="V126" s="327"/>
      <c r="W126" s="327"/>
      <c r="X126" s="327"/>
      <c r="Y126" s="327"/>
      <c r="Z126" s="327"/>
      <c r="AA126" s="327"/>
      <c r="BB126" s="327"/>
      <c r="BH126" s="327"/>
      <c r="BJ126" s="319"/>
      <c r="BK126" s="319"/>
      <c r="BL126" s="319"/>
      <c r="BM126" s="319"/>
      <c r="BN126" s="319"/>
      <c r="BO126" s="319"/>
      <c r="BP126" s="319"/>
      <c r="BQ126" s="319"/>
      <c r="BR126" s="319"/>
      <c r="BS126" s="319"/>
      <c r="BT126" s="319"/>
      <c r="BU126" s="319"/>
      <c r="BV126" s="319"/>
      <c r="BW126" s="319"/>
      <c r="BX126" s="319"/>
      <c r="BY126" s="319"/>
      <c r="BZ126" s="319"/>
      <c r="CA126" s="319"/>
      <c r="CB126" s="319"/>
      <c r="CC126" s="319"/>
      <c r="CD126" s="319"/>
      <c r="CE126" s="319"/>
    </row>
    <row r="127" spans="2:83" s="326" customFormat="1">
      <c r="B127" s="324"/>
      <c r="C127" s="324"/>
      <c r="D127" s="325"/>
      <c r="M127" s="327"/>
      <c r="N127" s="327"/>
      <c r="O127" s="327"/>
      <c r="P127" s="327"/>
      <c r="V127" s="327"/>
      <c r="W127" s="327"/>
      <c r="X127" s="327"/>
      <c r="Y127" s="327"/>
      <c r="Z127" s="327"/>
      <c r="AA127" s="327"/>
      <c r="BB127" s="327"/>
      <c r="BH127" s="327"/>
      <c r="BJ127" s="319"/>
      <c r="BK127" s="319"/>
      <c r="BL127" s="319"/>
      <c r="BM127" s="319"/>
      <c r="BN127" s="319"/>
      <c r="BO127" s="319"/>
      <c r="BP127" s="319"/>
      <c r="BQ127" s="319"/>
      <c r="BR127" s="319"/>
      <c r="BS127" s="319"/>
      <c r="BT127" s="319"/>
      <c r="BU127" s="319"/>
      <c r="BV127" s="319"/>
      <c r="BW127" s="319"/>
      <c r="BX127" s="319"/>
      <c r="BY127" s="319"/>
      <c r="BZ127" s="319"/>
      <c r="CA127" s="319"/>
      <c r="CB127" s="319"/>
      <c r="CC127" s="319"/>
      <c r="CD127" s="319"/>
      <c r="CE127" s="319"/>
    </row>
    <row r="128" spans="2:83" s="326" customFormat="1">
      <c r="B128" s="324"/>
      <c r="C128" s="324"/>
      <c r="D128" s="325"/>
      <c r="M128" s="327"/>
      <c r="N128" s="327"/>
      <c r="O128" s="327"/>
      <c r="P128" s="327"/>
      <c r="V128" s="327"/>
      <c r="W128" s="327"/>
      <c r="X128" s="327"/>
      <c r="Y128" s="327"/>
      <c r="Z128" s="327"/>
      <c r="AA128" s="327"/>
      <c r="BB128" s="327"/>
      <c r="BH128" s="327"/>
      <c r="BJ128" s="319"/>
      <c r="BK128" s="319"/>
      <c r="BL128" s="319"/>
      <c r="BM128" s="319"/>
      <c r="BN128" s="319"/>
      <c r="BO128" s="319"/>
      <c r="BP128" s="319"/>
      <c r="BQ128" s="319"/>
      <c r="BR128" s="319"/>
      <c r="BS128" s="319"/>
      <c r="BT128" s="319"/>
      <c r="BU128" s="319"/>
      <c r="BV128" s="319"/>
      <c r="BW128" s="319"/>
      <c r="BX128" s="319"/>
      <c r="BY128" s="319"/>
      <c r="BZ128" s="319"/>
      <c r="CA128" s="319"/>
      <c r="CB128" s="319"/>
      <c r="CC128" s="319"/>
      <c r="CD128" s="319"/>
      <c r="CE128" s="319"/>
    </row>
    <row r="129" spans="2:83" s="326" customFormat="1">
      <c r="B129" s="324"/>
      <c r="C129" s="324"/>
      <c r="D129" s="325"/>
      <c r="M129" s="327"/>
      <c r="N129" s="327"/>
      <c r="O129" s="327"/>
      <c r="P129" s="327"/>
      <c r="V129" s="327"/>
      <c r="W129" s="327"/>
      <c r="X129" s="327"/>
      <c r="Y129" s="327"/>
      <c r="Z129" s="327"/>
      <c r="AA129" s="327"/>
      <c r="BB129" s="327"/>
      <c r="BH129" s="327"/>
      <c r="BJ129" s="319"/>
      <c r="BK129" s="319"/>
      <c r="BL129" s="319"/>
      <c r="BM129" s="319"/>
      <c r="BN129" s="319"/>
      <c r="BO129" s="319"/>
      <c r="BP129" s="319"/>
      <c r="BQ129" s="319"/>
      <c r="BR129" s="319"/>
      <c r="BS129" s="319"/>
      <c r="BT129" s="319"/>
      <c r="BU129" s="319"/>
      <c r="BV129" s="319"/>
      <c r="BW129" s="319"/>
      <c r="BX129" s="319"/>
      <c r="BY129" s="319"/>
      <c r="BZ129" s="319"/>
      <c r="CA129" s="319"/>
      <c r="CB129" s="319"/>
      <c r="CC129" s="319"/>
      <c r="CD129" s="319"/>
      <c r="CE129" s="319"/>
    </row>
    <row r="130" spans="2:83" s="326" customFormat="1">
      <c r="B130" s="324"/>
      <c r="C130" s="324"/>
      <c r="D130" s="325"/>
      <c r="M130" s="327"/>
      <c r="N130" s="327"/>
      <c r="O130" s="327"/>
      <c r="P130" s="327"/>
      <c r="V130" s="327"/>
      <c r="W130" s="327"/>
      <c r="X130" s="327"/>
      <c r="Y130" s="327"/>
      <c r="Z130" s="327"/>
      <c r="AA130" s="327"/>
      <c r="BB130" s="327"/>
      <c r="BH130" s="327"/>
      <c r="BJ130" s="319"/>
      <c r="BK130" s="319"/>
      <c r="BL130" s="319"/>
      <c r="BM130" s="319"/>
      <c r="BN130" s="319"/>
      <c r="BO130" s="319"/>
      <c r="BP130" s="319"/>
      <c r="BQ130" s="319"/>
      <c r="BR130" s="319"/>
      <c r="BS130" s="319"/>
      <c r="BT130" s="319"/>
      <c r="BU130" s="319"/>
      <c r="BV130" s="319"/>
      <c r="BW130" s="319"/>
      <c r="BX130" s="319"/>
      <c r="BY130" s="319"/>
      <c r="BZ130" s="319"/>
      <c r="CA130" s="319"/>
      <c r="CB130" s="319"/>
      <c r="CC130" s="319"/>
      <c r="CD130" s="319"/>
      <c r="CE130" s="319"/>
    </row>
    <row r="131" spans="2:83" s="326" customFormat="1">
      <c r="B131" s="324"/>
      <c r="C131" s="324"/>
      <c r="D131" s="325"/>
      <c r="M131" s="327"/>
      <c r="N131" s="327"/>
      <c r="O131" s="327"/>
      <c r="P131" s="327"/>
      <c r="V131" s="327"/>
      <c r="W131" s="327"/>
      <c r="X131" s="327"/>
      <c r="Y131" s="327"/>
      <c r="Z131" s="327"/>
      <c r="AA131" s="327"/>
      <c r="BB131" s="327"/>
      <c r="BH131" s="327"/>
      <c r="BJ131" s="319"/>
      <c r="BK131" s="319"/>
      <c r="BL131" s="319"/>
      <c r="BM131" s="319"/>
      <c r="BN131" s="319"/>
      <c r="BO131" s="319"/>
      <c r="BP131" s="319"/>
      <c r="BQ131" s="319"/>
      <c r="BR131" s="319"/>
      <c r="BS131" s="319"/>
      <c r="BT131" s="319"/>
      <c r="BU131" s="319"/>
      <c r="BV131" s="319"/>
      <c r="BW131" s="319"/>
      <c r="BX131" s="319"/>
      <c r="BY131" s="319"/>
      <c r="BZ131" s="319"/>
      <c r="CA131" s="319"/>
      <c r="CB131" s="319"/>
      <c r="CC131" s="319"/>
      <c r="CD131" s="319"/>
      <c r="CE131" s="319"/>
    </row>
    <row r="132" spans="2:83" s="326" customFormat="1">
      <c r="B132" s="324"/>
      <c r="C132" s="324"/>
      <c r="D132" s="325"/>
      <c r="M132" s="327"/>
      <c r="N132" s="327"/>
      <c r="O132" s="327"/>
      <c r="P132" s="327"/>
      <c r="V132" s="327"/>
      <c r="W132" s="327"/>
      <c r="X132" s="327"/>
      <c r="Y132" s="327"/>
      <c r="Z132" s="327"/>
      <c r="AA132" s="327"/>
      <c r="BB132" s="327"/>
      <c r="BH132" s="327"/>
      <c r="BJ132" s="319"/>
      <c r="BK132" s="319"/>
      <c r="BL132" s="319"/>
      <c r="BM132" s="319"/>
      <c r="BN132" s="319"/>
      <c r="BO132" s="319"/>
      <c r="BP132" s="319"/>
      <c r="BQ132" s="319"/>
      <c r="BR132" s="319"/>
      <c r="BS132" s="319"/>
      <c r="BT132" s="319"/>
      <c r="BU132" s="319"/>
      <c r="BV132" s="319"/>
      <c r="BW132" s="319"/>
      <c r="BX132" s="319"/>
      <c r="BY132" s="319"/>
      <c r="BZ132" s="319"/>
      <c r="CA132" s="319"/>
      <c r="CB132" s="319"/>
      <c r="CC132" s="319"/>
      <c r="CD132" s="319"/>
      <c r="CE132" s="319"/>
    </row>
    <row r="133" spans="2:83" s="326" customFormat="1">
      <c r="B133" s="324"/>
      <c r="C133" s="324"/>
      <c r="D133" s="325"/>
      <c r="M133" s="327"/>
      <c r="N133" s="327"/>
      <c r="O133" s="327"/>
      <c r="P133" s="327"/>
      <c r="V133" s="327"/>
      <c r="W133" s="327"/>
      <c r="X133" s="327"/>
      <c r="Y133" s="327"/>
      <c r="Z133" s="327"/>
      <c r="AA133" s="327"/>
      <c r="BB133" s="327"/>
      <c r="BH133" s="327"/>
      <c r="BJ133" s="319"/>
      <c r="BK133" s="319"/>
      <c r="BL133" s="319"/>
      <c r="BM133" s="319"/>
      <c r="BN133" s="319"/>
      <c r="BO133" s="319"/>
      <c r="BP133" s="319"/>
      <c r="BQ133" s="319"/>
      <c r="BR133" s="319"/>
      <c r="BS133" s="319"/>
      <c r="BT133" s="319"/>
      <c r="BU133" s="319"/>
      <c r="BV133" s="319"/>
      <c r="BW133" s="319"/>
      <c r="BX133" s="319"/>
      <c r="BY133" s="319"/>
      <c r="BZ133" s="319"/>
      <c r="CA133" s="319"/>
      <c r="CB133" s="319"/>
      <c r="CC133" s="319"/>
      <c r="CD133" s="319"/>
      <c r="CE133" s="319"/>
    </row>
    <row r="134" spans="2:83" s="326" customFormat="1">
      <c r="B134" s="324"/>
      <c r="C134" s="324"/>
      <c r="D134" s="325"/>
      <c r="M134" s="327"/>
      <c r="N134" s="327"/>
      <c r="O134" s="327"/>
      <c r="P134" s="327"/>
      <c r="V134" s="327"/>
      <c r="W134" s="327"/>
      <c r="X134" s="327"/>
      <c r="Y134" s="327"/>
      <c r="Z134" s="327"/>
      <c r="AA134" s="327"/>
      <c r="BB134" s="327"/>
      <c r="BH134" s="327"/>
      <c r="BJ134" s="319"/>
      <c r="BK134" s="319"/>
      <c r="BL134" s="319"/>
      <c r="BM134" s="319"/>
      <c r="BN134" s="319"/>
      <c r="BO134" s="319"/>
      <c r="BP134" s="319"/>
      <c r="BQ134" s="319"/>
      <c r="BR134" s="319"/>
      <c r="BS134" s="319"/>
      <c r="BT134" s="319"/>
      <c r="BU134" s="319"/>
      <c r="BV134" s="319"/>
      <c r="BW134" s="319"/>
      <c r="BX134" s="319"/>
      <c r="BY134" s="319"/>
      <c r="BZ134" s="319"/>
      <c r="CA134" s="319"/>
      <c r="CB134" s="319"/>
      <c r="CC134" s="319"/>
      <c r="CD134" s="319"/>
      <c r="CE134" s="319"/>
    </row>
    <row r="135" spans="2:83" s="326" customFormat="1">
      <c r="B135" s="324"/>
      <c r="C135" s="324"/>
      <c r="D135" s="325"/>
      <c r="M135" s="327"/>
      <c r="N135" s="327"/>
      <c r="O135" s="327"/>
      <c r="P135" s="327"/>
      <c r="V135" s="327"/>
      <c r="W135" s="327"/>
      <c r="X135" s="327"/>
      <c r="Y135" s="327"/>
      <c r="Z135" s="327"/>
      <c r="AA135" s="327"/>
      <c r="BB135" s="327"/>
      <c r="BH135" s="327"/>
      <c r="BJ135" s="319"/>
      <c r="BK135" s="319"/>
      <c r="BL135" s="319"/>
      <c r="BM135" s="319"/>
      <c r="BN135" s="319"/>
      <c r="BO135" s="319"/>
      <c r="BP135" s="319"/>
      <c r="BQ135" s="319"/>
      <c r="BR135" s="319"/>
      <c r="BS135" s="319"/>
      <c r="BT135" s="319"/>
      <c r="BU135" s="319"/>
      <c r="BV135" s="319"/>
      <c r="BW135" s="319"/>
      <c r="BX135" s="319"/>
      <c r="BY135" s="319"/>
      <c r="BZ135" s="319"/>
      <c r="CA135" s="319"/>
      <c r="CB135" s="319"/>
      <c r="CC135" s="319"/>
      <c r="CD135" s="319"/>
      <c r="CE135" s="319"/>
    </row>
    <row r="136" spans="2:83" s="326" customFormat="1">
      <c r="B136" s="324"/>
      <c r="C136" s="324"/>
      <c r="D136" s="325"/>
      <c r="M136" s="327"/>
      <c r="N136" s="327"/>
      <c r="O136" s="327"/>
      <c r="P136" s="327"/>
      <c r="V136" s="327"/>
      <c r="W136" s="327"/>
      <c r="X136" s="327"/>
      <c r="Y136" s="327"/>
      <c r="Z136" s="327"/>
      <c r="AA136" s="327"/>
      <c r="BB136" s="327"/>
      <c r="BH136" s="327"/>
      <c r="BJ136" s="319"/>
      <c r="BK136" s="319"/>
      <c r="BL136" s="319"/>
      <c r="BM136" s="319"/>
      <c r="BN136" s="319"/>
      <c r="BO136" s="319"/>
      <c r="BP136" s="319"/>
      <c r="BQ136" s="319"/>
      <c r="BR136" s="319"/>
      <c r="BS136" s="319"/>
      <c r="BT136" s="319"/>
      <c r="BU136" s="319"/>
      <c r="BV136" s="319"/>
      <c r="BW136" s="319"/>
      <c r="BX136" s="319"/>
      <c r="BY136" s="319"/>
      <c r="BZ136" s="319"/>
      <c r="CA136" s="319"/>
      <c r="CB136" s="319"/>
      <c r="CC136" s="319"/>
      <c r="CD136" s="319"/>
      <c r="CE136" s="319"/>
    </row>
    <row r="137" spans="2:83" s="326" customFormat="1">
      <c r="B137" s="324"/>
      <c r="C137" s="324"/>
      <c r="D137" s="325"/>
      <c r="M137" s="327"/>
      <c r="N137" s="327"/>
      <c r="O137" s="327"/>
      <c r="P137" s="327"/>
      <c r="V137" s="327"/>
      <c r="W137" s="327"/>
      <c r="X137" s="327"/>
      <c r="Y137" s="327"/>
      <c r="Z137" s="327"/>
      <c r="AA137" s="327"/>
      <c r="BB137" s="327"/>
      <c r="BH137" s="327"/>
      <c r="BJ137" s="319"/>
      <c r="BK137" s="319"/>
      <c r="BL137" s="319"/>
      <c r="BM137" s="319"/>
      <c r="BN137" s="319"/>
      <c r="BO137" s="319"/>
      <c r="BP137" s="319"/>
      <c r="BQ137" s="319"/>
      <c r="BR137" s="319"/>
      <c r="BS137" s="319"/>
      <c r="BT137" s="319"/>
      <c r="BU137" s="319"/>
      <c r="BV137" s="319"/>
      <c r="BW137" s="319"/>
      <c r="BX137" s="319"/>
      <c r="BY137" s="319"/>
      <c r="BZ137" s="319"/>
      <c r="CA137" s="319"/>
      <c r="CB137" s="319"/>
      <c r="CC137" s="319"/>
      <c r="CD137" s="319"/>
      <c r="CE137" s="319"/>
    </row>
    <row r="138" spans="2:83" s="326" customFormat="1">
      <c r="B138" s="324"/>
      <c r="C138" s="324"/>
      <c r="D138" s="325"/>
      <c r="M138" s="327"/>
      <c r="N138" s="327"/>
      <c r="O138" s="327"/>
      <c r="P138" s="327"/>
      <c r="V138" s="327"/>
      <c r="W138" s="327"/>
      <c r="X138" s="327"/>
      <c r="Y138" s="327"/>
      <c r="Z138" s="327"/>
      <c r="AA138" s="327"/>
      <c r="BB138" s="327"/>
      <c r="BH138" s="327"/>
      <c r="BJ138" s="319"/>
      <c r="BK138" s="319"/>
      <c r="BL138" s="319"/>
      <c r="BM138" s="319"/>
      <c r="BN138" s="319"/>
      <c r="BO138" s="319"/>
      <c r="BP138" s="319"/>
      <c r="BQ138" s="319"/>
      <c r="BR138" s="319"/>
      <c r="BS138" s="319"/>
      <c r="BT138" s="319"/>
      <c r="BU138" s="319"/>
      <c r="BV138" s="319"/>
      <c r="BW138" s="319"/>
      <c r="BX138" s="319"/>
      <c r="BY138" s="319"/>
      <c r="BZ138" s="319"/>
      <c r="CA138" s="319"/>
      <c r="CB138" s="319"/>
      <c r="CC138" s="319"/>
      <c r="CD138" s="319"/>
      <c r="CE138" s="319"/>
    </row>
    <row r="139" spans="2:83" s="326" customFormat="1">
      <c r="B139" s="324"/>
      <c r="C139" s="324"/>
      <c r="D139" s="325"/>
      <c r="M139" s="327"/>
      <c r="N139" s="327"/>
      <c r="O139" s="327"/>
      <c r="P139" s="327"/>
      <c r="V139" s="327"/>
      <c r="W139" s="327"/>
      <c r="X139" s="327"/>
      <c r="Y139" s="327"/>
      <c r="Z139" s="327"/>
      <c r="AA139" s="327"/>
      <c r="BB139" s="327"/>
      <c r="BH139" s="327"/>
      <c r="BJ139" s="319"/>
      <c r="BK139" s="319"/>
      <c r="BL139" s="319"/>
      <c r="BM139" s="319"/>
      <c r="BN139" s="319"/>
      <c r="BO139" s="319"/>
      <c r="BP139" s="319"/>
      <c r="BQ139" s="319"/>
      <c r="BR139" s="319"/>
      <c r="BS139" s="319"/>
      <c r="BT139" s="319"/>
      <c r="BU139" s="319"/>
      <c r="BV139" s="319"/>
      <c r="BW139" s="319"/>
      <c r="BX139" s="319"/>
      <c r="BY139" s="319"/>
      <c r="BZ139" s="319"/>
      <c r="CA139" s="319"/>
      <c r="CB139" s="319"/>
      <c r="CC139" s="319"/>
      <c r="CD139" s="319"/>
      <c r="CE139" s="319"/>
    </row>
    <row r="140" spans="2:83" s="326" customFormat="1">
      <c r="B140" s="324"/>
      <c r="C140" s="324"/>
      <c r="D140" s="325"/>
      <c r="M140" s="327"/>
      <c r="N140" s="327"/>
      <c r="O140" s="327"/>
      <c r="P140" s="327"/>
      <c r="V140" s="327"/>
      <c r="W140" s="327"/>
      <c r="X140" s="327"/>
      <c r="Y140" s="327"/>
      <c r="Z140" s="327"/>
      <c r="AA140" s="327"/>
      <c r="BB140" s="327"/>
      <c r="BH140" s="327"/>
      <c r="BJ140" s="319"/>
      <c r="BK140" s="319"/>
      <c r="BL140" s="319"/>
      <c r="BM140" s="319"/>
      <c r="BN140" s="319"/>
      <c r="BO140" s="319"/>
      <c r="BP140" s="319"/>
      <c r="BQ140" s="319"/>
      <c r="BR140" s="319"/>
      <c r="BS140" s="319"/>
      <c r="BT140" s="319"/>
      <c r="BU140" s="319"/>
      <c r="BV140" s="319"/>
      <c r="BW140" s="319"/>
      <c r="BX140" s="319"/>
      <c r="BY140" s="319"/>
      <c r="BZ140" s="319"/>
      <c r="CA140" s="319"/>
      <c r="CB140" s="319"/>
      <c r="CC140" s="319"/>
      <c r="CD140" s="319"/>
      <c r="CE140" s="319"/>
    </row>
    <row r="141" spans="2:83" s="326" customFormat="1">
      <c r="B141" s="324"/>
      <c r="C141" s="324"/>
      <c r="D141" s="325"/>
      <c r="M141" s="327"/>
      <c r="N141" s="327"/>
      <c r="O141" s="327"/>
      <c r="P141" s="327"/>
      <c r="V141" s="327"/>
      <c r="W141" s="327"/>
      <c r="X141" s="327"/>
      <c r="Y141" s="327"/>
      <c r="Z141" s="327"/>
      <c r="AA141" s="327"/>
      <c r="BB141" s="327"/>
      <c r="BH141" s="327"/>
      <c r="BJ141" s="319"/>
      <c r="BK141" s="319"/>
      <c r="BL141" s="319"/>
      <c r="BM141" s="319"/>
      <c r="BN141" s="319"/>
      <c r="BO141" s="319"/>
      <c r="BP141" s="319"/>
      <c r="BQ141" s="319"/>
      <c r="BR141" s="319"/>
      <c r="BS141" s="319"/>
      <c r="BT141" s="319"/>
      <c r="BU141" s="319"/>
      <c r="BV141" s="319"/>
      <c r="BW141" s="319"/>
      <c r="BX141" s="319"/>
      <c r="BY141" s="319"/>
      <c r="BZ141" s="319"/>
      <c r="CA141" s="319"/>
      <c r="CB141" s="319"/>
      <c r="CC141" s="319"/>
      <c r="CD141" s="319"/>
      <c r="CE141" s="319"/>
    </row>
    <row r="142" spans="2:83" s="326" customFormat="1">
      <c r="B142" s="324"/>
      <c r="C142" s="324"/>
      <c r="D142" s="325"/>
      <c r="M142" s="327"/>
      <c r="N142" s="327"/>
      <c r="O142" s="327"/>
      <c r="P142" s="327"/>
      <c r="V142" s="327"/>
      <c r="W142" s="327"/>
      <c r="X142" s="327"/>
      <c r="Y142" s="327"/>
      <c r="Z142" s="327"/>
      <c r="AA142" s="327"/>
      <c r="BB142" s="327"/>
      <c r="BH142" s="327"/>
      <c r="BJ142" s="319"/>
      <c r="BK142" s="319"/>
      <c r="BL142" s="319"/>
      <c r="BM142" s="319"/>
      <c r="BN142" s="319"/>
      <c r="BO142" s="319"/>
      <c r="BP142" s="319"/>
      <c r="BQ142" s="319"/>
      <c r="BR142" s="319"/>
      <c r="BS142" s="319"/>
      <c r="BT142" s="319"/>
      <c r="BU142" s="319"/>
      <c r="BV142" s="319"/>
      <c r="BW142" s="319"/>
      <c r="BX142" s="319"/>
      <c r="BY142" s="319"/>
      <c r="BZ142" s="319"/>
      <c r="CA142" s="319"/>
      <c r="CB142" s="319"/>
      <c r="CC142" s="319"/>
      <c r="CD142" s="319"/>
      <c r="CE142" s="319"/>
    </row>
    <row r="143" spans="2:83" s="326" customFormat="1">
      <c r="B143" s="324"/>
      <c r="C143" s="324"/>
      <c r="D143" s="325"/>
      <c r="M143" s="327"/>
      <c r="N143" s="327"/>
      <c r="O143" s="327"/>
      <c r="P143" s="327"/>
      <c r="V143" s="327"/>
      <c r="W143" s="327"/>
      <c r="X143" s="327"/>
      <c r="Y143" s="327"/>
      <c r="Z143" s="327"/>
      <c r="AA143" s="327"/>
      <c r="BB143" s="327"/>
      <c r="BH143" s="327"/>
      <c r="BJ143" s="319"/>
      <c r="BK143" s="319"/>
      <c r="BL143" s="319"/>
      <c r="BM143" s="319"/>
      <c r="BN143" s="319"/>
      <c r="BO143" s="319"/>
      <c r="BP143" s="319"/>
      <c r="BQ143" s="319"/>
      <c r="BR143" s="319"/>
      <c r="BS143" s="319"/>
      <c r="BT143" s="319"/>
      <c r="BU143" s="319"/>
      <c r="BV143" s="319"/>
      <c r="BW143" s="319"/>
      <c r="BX143" s="319"/>
      <c r="BY143" s="319"/>
      <c r="BZ143" s="319"/>
      <c r="CA143" s="319"/>
      <c r="CB143" s="319"/>
      <c r="CC143" s="319"/>
      <c r="CD143" s="319"/>
      <c r="CE143" s="319"/>
    </row>
    <row r="144" spans="2:83" s="326" customFormat="1">
      <c r="B144" s="324"/>
      <c r="C144" s="324"/>
      <c r="D144" s="325"/>
      <c r="M144" s="327"/>
      <c r="N144" s="327"/>
      <c r="O144" s="327"/>
      <c r="P144" s="327"/>
      <c r="V144" s="327"/>
      <c r="W144" s="327"/>
      <c r="X144" s="327"/>
      <c r="Y144" s="327"/>
      <c r="Z144" s="327"/>
      <c r="AA144" s="327"/>
      <c r="BB144" s="327"/>
      <c r="BH144" s="327"/>
      <c r="BJ144" s="319"/>
      <c r="BK144" s="319"/>
      <c r="BL144" s="319"/>
      <c r="BM144" s="319"/>
      <c r="BN144" s="319"/>
      <c r="BO144" s="319"/>
      <c r="BP144" s="319"/>
      <c r="BQ144" s="319"/>
      <c r="BR144" s="319"/>
      <c r="BS144" s="319"/>
      <c r="BT144" s="319"/>
      <c r="BU144" s="319"/>
      <c r="BV144" s="319"/>
      <c r="BW144" s="319"/>
      <c r="BX144" s="319"/>
      <c r="BY144" s="319"/>
      <c r="BZ144" s="319"/>
      <c r="CA144" s="319"/>
      <c r="CB144" s="319"/>
      <c r="CC144" s="319"/>
      <c r="CD144" s="319"/>
      <c r="CE144" s="319"/>
    </row>
    <row r="145" spans="2:83" s="326" customFormat="1">
      <c r="B145" s="324"/>
      <c r="C145" s="324"/>
      <c r="D145" s="325"/>
      <c r="M145" s="327"/>
      <c r="N145" s="327"/>
      <c r="O145" s="327"/>
      <c r="P145" s="327"/>
      <c r="V145" s="327"/>
      <c r="W145" s="327"/>
      <c r="X145" s="327"/>
      <c r="Y145" s="327"/>
      <c r="Z145" s="327"/>
      <c r="AA145" s="327"/>
      <c r="BB145" s="327"/>
      <c r="BH145" s="327"/>
      <c r="BJ145" s="319"/>
      <c r="BK145" s="319"/>
      <c r="BL145" s="319"/>
      <c r="BM145" s="319"/>
      <c r="BN145" s="319"/>
      <c r="BO145" s="319"/>
      <c r="BP145" s="319"/>
      <c r="BQ145" s="319"/>
      <c r="BR145" s="319"/>
      <c r="BS145" s="319"/>
      <c r="BT145" s="319"/>
      <c r="BU145" s="319"/>
      <c r="BV145" s="319"/>
      <c r="BW145" s="319"/>
      <c r="BX145" s="319"/>
      <c r="BY145" s="319"/>
      <c r="BZ145" s="319"/>
      <c r="CA145" s="319"/>
      <c r="CB145" s="319"/>
      <c r="CC145" s="319"/>
      <c r="CD145" s="319"/>
      <c r="CE145" s="319"/>
    </row>
    <row r="146" spans="2:83" s="326" customFormat="1">
      <c r="B146" s="324"/>
      <c r="C146" s="324"/>
      <c r="D146" s="325"/>
      <c r="M146" s="327"/>
      <c r="N146" s="327"/>
      <c r="O146" s="327"/>
      <c r="P146" s="327"/>
      <c r="V146" s="327"/>
      <c r="W146" s="327"/>
      <c r="X146" s="327"/>
      <c r="Y146" s="327"/>
      <c r="Z146" s="327"/>
      <c r="AA146" s="327"/>
      <c r="BB146" s="327"/>
      <c r="BH146" s="327"/>
      <c r="BJ146" s="319"/>
      <c r="BK146" s="319"/>
      <c r="BL146" s="319"/>
      <c r="BM146" s="319"/>
      <c r="BN146" s="319"/>
      <c r="BO146" s="319"/>
      <c r="BP146" s="319"/>
      <c r="BQ146" s="319"/>
      <c r="BR146" s="319"/>
      <c r="BS146" s="319"/>
      <c r="BT146" s="319"/>
      <c r="BU146" s="319"/>
      <c r="BV146" s="319"/>
      <c r="BW146" s="319"/>
      <c r="BX146" s="319"/>
      <c r="BY146" s="319"/>
      <c r="BZ146" s="319"/>
      <c r="CA146" s="319"/>
      <c r="CB146" s="319"/>
      <c r="CC146" s="319"/>
      <c r="CD146" s="319"/>
      <c r="CE146" s="319"/>
    </row>
    <row r="147" spans="2:83" s="326" customFormat="1">
      <c r="B147" s="324"/>
      <c r="C147" s="324"/>
      <c r="D147" s="325"/>
      <c r="M147" s="327"/>
      <c r="N147" s="327"/>
      <c r="O147" s="327"/>
      <c r="P147" s="327"/>
      <c r="V147" s="327"/>
      <c r="W147" s="327"/>
      <c r="X147" s="327"/>
      <c r="Y147" s="327"/>
      <c r="Z147" s="327"/>
      <c r="AA147" s="327"/>
      <c r="BB147" s="327"/>
      <c r="BH147" s="327"/>
      <c r="BJ147" s="319"/>
      <c r="BK147" s="319"/>
      <c r="BL147" s="319"/>
      <c r="BM147" s="319"/>
      <c r="BN147" s="319"/>
      <c r="BO147" s="319"/>
      <c r="BP147" s="319"/>
      <c r="BQ147" s="319"/>
      <c r="BR147" s="319"/>
      <c r="BS147" s="319"/>
      <c r="BT147" s="319"/>
      <c r="BU147" s="319"/>
      <c r="BV147" s="319"/>
      <c r="BW147" s="319"/>
      <c r="BX147" s="319"/>
      <c r="BY147" s="319"/>
      <c r="BZ147" s="319"/>
      <c r="CA147" s="319"/>
      <c r="CB147" s="319"/>
      <c r="CC147" s="319"/>
      <c r="CD147" s="319"/>
      <c r="CE147" s="319"/>
    </row>
    <row r="148" spans="2:83" s="326" customFormat="1">
      <c r="B148" s="324"/>
      <c r="C148" s="324"/>
      <c r="D148" s="325"/>
      <c r="M148" s="327"/>
      <c r="N148" s="327"/>
      <c r="O148" s="327"/>
      <c r="P148" s="327"/>
      <c r="V148" s="327"/>
      <c r="W148" s="327"/>
      <c r="X148" s="327"/>
      <c r="Y148" s="327"/>
      <c r="Z148" s="327"/>
      <c r="AA148" s="327"/>
      <c r="BB148" s="327"/>
      <c r="BH148" s="327"/>
      <c r="BJ148" s="319"/>
      <c r="BK148" s="319"/>
      <c r="BL148" s="319"/>
      <c r="BM148" s="319"/>
      <c r="BN148" s="319"/>
      <c r="BO148" s="319"/>
      <c r="BP148" s="319"/>
      <c r="BQ148" s="319"/>
      <c r="BR148" s="319"/>
      <c r="BS148" s="319"/>
      <c r="BT148" s="319"/>
      <c r="BU148" s="319"/>
      <c r="BV148" s="319"/>
      <c r="BW148" s="319"/>
      <c r="BX148" s="319"/>
      <c r="BY148" s="319"/>
      <c r="BZ148" s="319"/>
      <c r="CA148" s="319"/>
      <c r="CB148" s="319"/>
      <c r="CC148" s="319"/>
      <c r="CD148" s="319"/>
      <c r="CE148" s="319"/>
    </row>
    <row r="149" spans="2:83" s="326" customFormat="1">
      <c r="B149" s="324"/>
      <c r="C149" s="324"/>
      <c r="D149" s="325"/>
      <c r="M149" s="327"/>
      <c r="N149" s="327"/>
      <c r="O149" s="327"/>
      <c r="P149" s="327"/>
      <c r="V149" s="327"/>
      <c r="W149" s="327"/>
      <c r="X149" s="327"/>
      <c r="Y149" s="327"/>
      <c r="Z149" s="327"/>
      <c r="AA149" s="327"/>
      <c r="BB149" s="327"/>
      <c r="BH149" s="327"/>
      <c r="BJ149" s="319"/>
      <c r="BK149" s="319"/>
      <c r="BL149" s="319"/>
      <c r="BM149" s="319"/>
      <c r="BN149" s="319"/>
      <c r="BO149" s="319"/>
      <c r="BP149" s="319"/>
      <c r="BQ149" s="319"/>
      <c r="BR149" s="319"/>
      <c r="BS149" s="319"/>
      <c r="BT149" s="319"/>
      <c r="BU149" s="319"/>
      <c r="BV149" s="319"/>
      <c r="BW149" s="319"/>
      <c r="BX149" s="319"/>
      <c r="BY149" s="319"/>
      <c r="BZ149" s="319"/>
      <c r="CA149" s="319"/>
      <c r="CB149" s="319"/>
      <c r="CC149" s="319"/>
      <c r="CD149" s="319"/>
      <c r="CE149" s="319"/>
    </row>
    <row r="150" spans="2:83" s="326" customFormat="1">
      <c r="B150" s="324"/>
      <c r="C150" s="324"/>
      <c r="D150" s="325"/>
      <c r="M150" s="327"/>
      <c r="N150" s="327"/>
      <c r="O150" s="327"/>
      <c r="P150" s="327"/>
      <c r="V150" s="327"/>
      <c r="W150" s="327"/>
      <c r="X150" s="327"/>
      <c r="Y150" s="327"/>
      <c r="Z150" s="327"/>
      <c r="AA150" s="327"/>
      <c r="BB150" s="327"/>
      <c r="BH150" s="327"/>
      <c r="BJ150" s="319"/>
      <c r="BK150" s="319"/>
      <c r="BL150" s="319"/>
      <c r="BM150" s="319"/>
      <c r="BN150" s="319"/>
      <c r="BO150" s="319"/>
      <c r="BP150" s="319"/>
      <c r="BQ150" s="319"/>
      <c r="BR150" s="319"/>
      <c r="BS150" s="319"/>
      <c r="BT150" s="319"/>
      <c r="BU150" s="319"/>
      <c r="BV150" s="319"/>
      <c r="BW150" s="319"/>
      <c r="BX150" s="319"/>
      <c r="BY150" s="319"/>
      <c r="BZ150" s="319"/>
      <c r="CA150" s="319"/>
      <c r="CB150" s="319"/>
      <c r="CC150" s="319"/>
      <c r="CD150" s="319"/>
      <c r="CE150" s="319"/>
    </row>
    <row r="151" spans="2:83" s="326" customFormat="1">
      <c r="B151" s="324"/>
      <c r="C151" s="324"/>
      <c r="D151" s="325"/>
      <c r="M151" s="327"/>
      <c r="N151" s="327"/>
      <c r="O151" s="327"/>
      <c r="P151" s="327"/>
      <c r="V151" s="327"/>
      <c r="W151" s="327"/>
      <c r="X151" s="327"/>
      <c r="Y151" s="327"/>
      <c r="Z151" s="327"/>
      <c r="AA151" s="327"/>
      <c r="BB151" s="327"/>
      <c r="BH151" s="327"/>
      <c r="BJ151" s="319"/>
      <c r="BK151" s="319"/>
      <c r="BL151" s="319"/>
      <c r="BM151" s="319"/>
      <c r="BN151" s="319"/>
      <c r="BO151" s="319"/>
      <c r="BP151" s="319"/>
      <c r="BQ151" s="319"/>
      <c r="BR151" s="319"/>
      <c r="BS151" s="319"/>
      <c r="BT151" s="319"/>
      <c r="BU151" s="319"/>
      <c r="BV151" s="319"/>
      <c r="BW151" s="319"/>
      <c r="BX151" s="319"/>
      <c r="BY151" s="319"/>
      <c r="BZ151" s="319"/>
      <c r="CA151" s="319"/>
      <c r="CB151" s="319"/>
      <c r="CC151" s="319"/>
      <c r="CD151" s="319"/>
      <c r="CE151" s="319"/>
    </row>
    <row r="152" spans="2:83" s="326" customFormat="1">
      <c r="B152" s="324"/>
      <c r="C152" s="324"/>
      <c r="D152" s="325"/>
      <c r="M152" s="327"/>
      <c r="N152" s="327"/>
      <c r="O152" s="327"/>
      <c r="P152" s="327"/>
      <c r="V152" s="327"/>
      <c r="W152" s="327"/>
      <c r="X152" s="327"/>
      <c r="Y152" s="327"/>
      <c r="Z152" s="327"/>
      <c r="AA152" s="327"/>
      <c r="BB152" s="327"/>
      <c r="BH152" s="327"/>
      <c r="BJ152" s="319"/>
      <c r="BK152" s="319"/>
      <c r="BL152" s="319"/>
      <c r="BM152" s="319"/>
      <c r="BN152" s="319"/>
      <c r="BO152" s="319"/>
      <c r="BP152" s="319"/>
      <c r="BQ152" s="319"/>
      <c r="BR152" s="319"/>
      <c r="BS152" s="319"/>
      <c r="BT152" s="319"/>
      <c r="BU152" s="319"/>
      <c r="BV152" s="319"/>
      <c r="BW152" s="319"/>
      <c r="BX152" s="319"/>
      <c r="BY152" s="319"/>
      <c r="BZ152" s="319"/>
      <c r="CA152" s="319"/>
      <c r="CB152" s="319"/>
      <c r="CC152" s="319"/>
      <c r="CD152" s="319"/>
      <c r="CE152" s="319"/>
    </row>
    <row r="153" spans="2:83" s="326" customFormat="1">
      <c r="B153" s="324"/>
      <c r="C153" s="324"/>
      <c r="D153" s="325"/>
      <c r="M153" s="327"/>
      <c r="N153" s="327"/>
      <c r="O153" s="327"/>
      <c r="P153" s="327"/>
      <c r="V153" s="327"/>
      <c r="W153" s="327"/>
      <c r="X153" s="327"/>
      <c r="Y153" s="327"/>
      <c r="Z153" s="327"/>
      <c r="AA153" s="327"/>
      <c r="BB153" s="327"/>
      <c r="BH153" s="327"/>
      <c r="BJ153" s="319"/>
      <c r="BK153" s="319"/>
      <c r="BL153" s="319"/>
      <c r="BM153" s="319"/>
      <c r="BN153" s="319"/>
      <c r="BO153" s="319"/>
      <c r="BP153" s="319"/>
      <c r="BQ153" s="319"/>
      <c r="BR153" s="319"/>
      <c r="BS153" s="319"/>
      <c r="BT153" s="319"/>
      <c r="BU153" s="319"/>
      <c r="BV153" s="319"/>
      <c r="BW153" s="319"/>
      <c r="BX153" s="319"/>
      <c r="BY153" s="319"/>
      <c r="BZ153" s="319"/>
      <c r="CA153" s="319"/>
      <c r="CB153" s="319"/>
      <c r="CC153" s="319"/>
      <c r="CD153" s="319"/>
      <c r="CE153" s="319"/>
    </row>
    <row r="154" spans="2:83" s="326" customFormat="1">
      <c r="B154" s="324"/>
      <c r="C154" s="324"/>
      <c r="D154" s="325"/>
      <c r="M154" s="327"/>
      <c r="N154" s="327"/>
      <c r="O154" s="327"/>
      <c r="P154" s="327"/>
      <c r="V154" s="327"/>
      <c r="W154" s="327"/>
      <c r="X154" s="327"/>
      <c r="Y154" s="327"/>
      <c r="Z154" s="327"/>
      <c r="AA154" s="327"/>
      <c r="BB154" s="327"/>
      <c r="BH154" s="327"/>
      <c r="BJ154" s="319"/>
      <c r="BK154" s="319"/>
      <c r="BL154" s="319"/>
      <c r="BM154" s="319"/>
      <c r="BN154" s="319"/>
      <c r="BO154" s="319"/>
      <c r="BP154" s="319"/>
      <c r="BQ154" s="319"/>
      <c r="BR154" s="319"/>
      <c r="BS154" s="319"/>
      <c r="BT154" s="319"/>
      <c r="BU154" s="319"/>
      <c r="BV154" s="319"/>
      <c r="BW154" s="319"/>
      <c r="BX154" s="319"/>
      <c r="BY154" s="319"/>
      <c r="BZ154" s="319"/>
      <c r="CA154" s="319"/>
      <c r="CB154" s="319"/>
      <c r="CC154" s="319"/>
      <c r="CD154" s="319"/>
      <c r="CE154" s="319"/>
    </row>
    <row r="155" spans="2:83" s="326" customFormat="1">
      <c r="B155" s="324"/>
      <c r="C155" s="324"/>
      <c r="D155" s="325"/>
      <c r="M155" s="327"/>
      <c r="N155" s="327"/>
      <c r="O155" s="327"/>
      <c r="P155" s="327"/>
      <c r="V155" s="327"/>
      <c r="W155" s="327"/>
      <c r="X155" s="327"/>
      <c r="Y155" s="327"/>
      <c r="Z155" s="327"/>
      <c r="AA155" s="327"/>
      <c r="BB155" s="327"/>
      <c r="BH155" s="327"/>
      <c r="BJ155" s="319"/>
      <c r="BK155" s="319"/>
      <c r="BL155" s="319"/>
      <c r="BM155" s="319"/>
      <c r="BN155" s="319"/>
      <c r="BO155" s="319"/>
      <c r="BP155" s="319"/>
      <c r="BQ155" s="319"/>
      <c r="BR155" s="319"/>
      <c r="BS155" s="319"/>
      <c r="BT155" s="319"/>
      <c r="BU155" s="319"/>
      <c r="BV155" s="319"/>
      <c r="BW155" s="319"/>
      <c r="BX155" s="319"/>
      <c r="BY155" s="319"/>
      <c r="BZ155" s="319"/>
      <c r="CA155" s="319"/>
      <c r="CB155" s="319"/>
      <c r="CC155" s="319"/>
      <c r="CD155" s="319"/>
      <c r="CE155" s="319"/>
    </row>
    <row r="156" spans="2:83" s="326" customFormat="1">
      <c r="B156" s="324"/>
      <c r="C156" s="324"/>
      <c r="D156" s="325"/>
      <c r="M156" s="327"/>
      <c r="N156" s="327"/>
      <c r="O156" s="327"/>
      <c r="P156" s="327"/>
      <c r="V156" s="327"/>
      <c r="W156" s="327"/>
      <c r="X156" s="327"/>
      <c r="Y156" s="327"/>
      <c r="Z156" s="327"/>
      <c r="AA156" s="327"/>
      <c r="BB156" s="327"/>
      <c r="BH156" s="327"/>
      <c r="BJ156" s="319"/>
      <c r="BK156" s="319"/>
      <c r="BL156" s="319"/>
      <c r="BM156" s="319"/>
      <c r="BN156" s="319"/>
      <c r="BO156" s="319"/>
      <c r="BP156" s="319"/>
      <c r="BQ156" s="319"/>
      <c r="BR156" s="319"/>
      <c r="BS156" s="319"/>
      <c r="BT156" s="319"/>
      <c r="BU156" s="319"/>
      <c r="BV156" s="319"/>
      <c r="BW156" s="319"/>
      <c r="BX156" s="319"/>
      <c r="BY156" s="319"/>
      <c r="BZ156" s="319"/>
      <c r="CA156" s="319"/>
      <c r="CB156" s="319"/>
      <c r="CC156" s="319"/>
      <c r="CD156" s="319"/>
      <c r="CE156" s="319"/>
    </row>
    <row r="157" spans="2:83">
      <c r="B157" s="340"/>
      <c r="C157" s="340"/>
      <c r="D157" s="306"/>
      <c r="E157" s="304"/>
      <c r="BE157" s="304"/>
      <c r="BF157" s="304"/>
      <c r="BG157" s="304"/>
    </row>
  </sheetData>
  <mergeCells count="41">
    <mergeCell ref="A1:BG1"/>
    <mergeCell ref="BJ3:BR3"/>
    <mergeCell ref="BT3:BY3"/>
    <mergeCell ref="A2:A3"/>
    <mergeCell ref="B2:B3"/>
    <mergeCell ref="C2:C3"/>
    <mergeCell ref="D2:D3"/>
    <mergeCell ref="E2:E3"/>
    <mergeCell ref="F2:F3"/>
    <mergeCell ref="G2:H3"/>
    <mergeCell ref="U2:U3"/>
    <mergeCell ref="V2:AB2"/>
    <mergeCell ref="BH2:BH3"/>
    <mergeCell ref="J2:J3"/>
    <mergeCell ref="BG2:BG3"/>
    <mergeCell ref="I2:I3"/>
    <mergeCell ref="A10:A11"/>
    <mergeCell ref="B10:B11"/>
    <mergeCell ref="BA2:BA3"/>
    <mergeCell ref="BB2:BB3"/>
    <mergeCell ref="AQ2:AQ3"/>
    <mergeCell ref="AR2:AX2"/>
    <mergeCell ref="AY2:AY3"/>
    <mergeCell ref="AZ2:AZ3"/>
    <mergeCell ref="G4:H4"/>
    <mergeCell ref="K2:K3"/>
    <mergeCell ref="L2:L3"/>
    <mergeCell ref="M2:M3"/>
    <mergeCell ref="P2:P3"/>
    <mergeCell ref="Q2:Q3"/>
    <mergeCell ref="AJ2:AP2"/>
    <mergeCell ref="R2:T4"/>
    <mergeCell ref="AC2:AI2"/>
    <mergeCell ref="V4:AP4"/>
    <mergeCell ref="B21:E21"/>
    <mergeCell ref="BJ23:BL23"/>
    <mergeCell ref="BC2:BC3"/>
    <mergeCell ref="BD2:BD3"/>
    <mergeCell ref="BE2:BE3"/>
    <mergeCell ref="BF2:BF3"/>
    <mergeCell ref="BI2:CE2"/>
  </mergeCells>
  <pageMargins left="0.7" right="0.7" top="0.75" bottom="0.75" header="0.3" footer="0.3"/>
  <pageSetup paperSize="9" scale="88" orientation="landscape" r:id="rId1"/>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500-000000000000}">
          <x14:formula1>
            <xm:f>'Założenia,wskaźniki, listy'!$N$18:$N$25</xm:f>
          </x14:formula1>
          <xm:sqref>BC6:BC13</xm:sqref>
        </x14:dataValidation>
        <x14:dataValidation type="list" allowBlank="1" showInputMessage="1" showErrorMessage="1" xr:uid="{00000000-0002-0000-0500-000001000000}">
          <x14:formula1>
            <xm:f>'Założenia,wskaźniki, listy'!$N$20:$N$25</xm:f>
          </x14:formula1>
          <xm:sqref>BC5 AZ5:AZ18 BC14:BC18</xm:sqref>
        </x14:dataValidation>
        <x14:dataValidation type="list" allowBlank="1" showInputMessage="1" showErrorMessage="1" xr:uid="{00000000-0002-0000-0500-000002000000}">
          <x14:formula1>
            <xm:f>'Założenia,wskaźniki, listy'!$J$65:$J$68</xm:f>
          </x14:formula1>
          <xm:sqref>BE5</xm:sqref>
        </x14:dataValidation>
        <x14:dataValidation type="list" allowBlank="1" showInputMessage="1" showErrorMessage="1" xr:uid="{00000000-0002-0000-0500-000003000000}">
          <x14:formula1>
            <xm:f>'Założenia,wskaźniki, listy'!$N$3:$N$7</xm:f>
          </x14:formula1>
          <xm:sqref>C5:C18</xm:sqref>
        </x14:dataValidation>
        <x14:dataValidation type="list" allowBlank="1" showInputMessage="1" showErrorMessage="1" xr:uid="{00000000-0002-0000-0500-000004000000}">
          <x14:formula1>
            <xm:f>'Założenia,wskaźniki, listy'!$M$31:$M$32</xm:f>
          </x14:formula1>
          <xm:sqref>BE6:BE18</xm:sqref>
        </x14:dataValidation>
        <x14:dataValidation type="list" allowBlank="1" showInputMessage="1" showErrorMessage="1" xr:uid="{00000000-0002-0000-0500-000005000000}">
          <x14:formula1>
            <xm:f>'Założenia,wskaźniki, listy'!$A$4:$A$10</xm:f>
          </x14:formula1>
          <xm:sqref>K5:K18 Q5:Q18</xm:sqref>
        </x14:dataValidation>
        <x14:dataValidation type="list" allowBlank="1" showInputMessage="1" showErrorMessage="1" xr:uid="{00000000-0002-0000-0500-000006000000}">
          <x14:formula1>
            <xm:f>'Założenia,wskaźniki, listy'!$J$64:$J$68</xm:f>
          </x14:formula1>
          <xm:sqref>BB5:BB18</xm:sqref>
        </x14:dataValidation>
        <x14:dataValidation type="list" allowBlank="1" showInputMessage="1" showErrorMessage="1" xr:uid="{00000000-0002-0000-0500-000007000000}">
          <x14:formula1>
            <xm:f>'Założenia,wskaźniki, listy'!$O$14:$O$15</xm:f>
          </x14:formula1>
          <xm:sqref>AY5:AY18</xm:sqref>
        </x14:dataValidation>
        <x14:dataValidation type="list" allowBlank="1" showInputMessage="1" showErrorMessage="1" xr:uid="{00000000-0002-0000-0500-000008000000}">
          <x14:formula1>
            <xm:f>'Założenia,wskaźniki, listy'!$F$13:$F$15</xm:f>
          </x14:formula1>
          <xm:sqref>J5:J18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800"/>
  </sheetPr>
  <dimension ref="A1:AN33"/>
  <sheetViews>
    <sheetView view="pageBreakPreview" topLeftCell="K1" zoomScale="85" zoomScaleNormal="85" zoomScaleSheetLayoutView="85" workbookViewId="0">
      <pane ySplit="5" topLeftCell="A6" activePane="bottomLeft" state="frozen"/>
      <selection activeCell="K1" sqref="K1"/>
      <selection pane="bottomLeft" activeCell="AK11" sqref="AK11"/>
    </sheetView>
  </sheetViews>
  <sheetFormatPr defaultColWidth="9" defaultRowHeight="13.8"/>
  <cols>
    <col min="1" max="1" width="5.3984375" style="38" hidden="1" customWidth="1"/>
    <col min="2" max="2" width="13.19921875" style="25" hidden="1" customWidth="1"/>
    <col min="3" max="3" width="19.8984375" style="25" hidden="1" customWidth="1"/>
    <col min="4" max="4" width="4.8984375" hidden="1" customWidth="1"/>
    <col min="5" max="5" width="8.3984375" style="25" hidden="1" customWidth="1"/>
    <col min="6" max="6" width="7.19921875" style="25" hidden="1" customWidth="1"/>
    <col min="7" max="8" width="9.19921875" style="25" hidden="1" customWidth="1"/>
    <col min="9" max="9" width="11.8984375" style="25" hidden="1" customWidth="1"/>
    <col min="10" max="10" width="10.09765625" style="25" hidden="1" customWidth="1"/>
    <col min="11" max="11" width="16.3984375" style="810" customWidth="1"/>
    <col min="12" max="12" width="11.8984375" style="25" bestFit="1" customWidth="1"/>
    <col min="13" max="13" width="15.5" style="25" customWidth="1"/>
    <col min="14" max="15" width="13.3984375" style="25" hidden="1" customWidth="1"/>
    <col min="16" max="16" width="9.5" style="29" hidden="1" customWidth="1"/>
    <col min="17" max="17" width="7.19921875" style="29" hidden="1" customWidth="1"/>
    <col min="18" max="18" width="11.3984375" style="29" hidden="1" customWidth="1"/>
    <col min="19" max="21" width="6" style="29" hidden="1" customWidth="1"/>
    <col min="22" max="24" width="7.09765625" style="25" hidden="1" customWidth="1"/>
    <col min="25" max="25" width="9.09765625" style="25" hidden="1" customWidth="1"/>
    <col min="26" max="29" width="7.09765625" style="25" hidden="1" customWidth="1"/>
    <col min="30" max="30" width="7.09765625" style="25" customWidth="1"/>
    <col min="31" max="31" width="8.69921875" style="25" bestFit="1" customWidth="1"/>
    <col min="32" max="32" width="12.3984375" style="25" bestFit="1" customWidth="1"/>
    <col min="33" max="33" width="7.69921875" style="25" bestFit="1" customWidth="1"/>
    <col min="34" max="34" width="8.69921875" style="25" bestFit="1" customWidth="1"/>
    <col min="35" max="35" width="7.69921875" style="25" bestFit="1" customWidth="1"/>
    <col min="36" max="36" width="8.5" style="25" bestFit="1" customWidth="1"/>
    <col min="37" max="37" width="9" style="25"/>
    <col min="38" max="38" width="17.5" style="810" customWidth="1"/>
    <col min="39" max="39" width="14.5" style="347" customWidth="1"/>
    <col min="40" max="16384" width="9" style="25"/>
  </cols>
  <sheetData>
    <row r="1" spans="1:40">
      <c r="K1" s="1063" t="s">
        <v>547</v>
      </c>
      <c r="L1" s="1063"/>
      <c r="M1" s="1063"/>
      <c r="N1" s="1063"/>
      <c r="O1" s="1063"/>
      <c r="P1" s="1063"/>
      <c r="Q1" s="1063"/>
      <c r="R1" s="1063"/>
      <c r="S1" s="1063"/>
      <c r="T1" s="1063"/>
      <c r="U1" s="1063"/>
      <c r="V1" s="1063"/>
      <c r="W1" s="1063"/>
      <c r="X1" s="1063"/>
      <c r="Y1" s="1063"/>
      <c r="Z1" s="1063"/>
      <c r="AA1" s="1063"/>
      <c r="AB1" s="1063"/>
      <c r="AC1" s="1063"/>
      <c r="AD1" s="1063"/>
      <c r="AE1" s="1063"/>
      <c r="AF1" s="1063"/>
      <c r="AG1" s="1063"/>
      <c r="AH1" s="1063"/>
      <c r="AI1" s="1063"/>
      <c r="AJ1" s="1063"/>
    </row>
    <row r="2" spans="1:40" ht="14.4" thickBot="1">
      <c r="K2" s="1026" t="s">
        <v>188</v>
      </c>
      <c r="L2" s="1026"/>
      <c r="M2" s="1026"/>
      <c r="N2" s="1020" t="s">
        <v>425</v>
      </c>
      <c r="O2" s="1021"/>
      <c r="P2" s="1021"/>
      <c r="Q2" s="1021"/>
      <c r="R2" s="1021"/>
      <c r="S2" s="1021"/>
      <c r="T2" s="1021"/>
      <c r="U2" s="1021"/>
      <c r="V2" s="1021"/>
      <c r="W2" s="1021"/>
      <c r="X2" s="1021"/>
      <c r="Y2" s="1021"/>
      <c r="Z2" s="1021"/>
      <c r="AA2" s="1021"/>
      <c r="AB2" s="1021"/>
      <c r="AC2" s="1022"/>
      <c r="AD2" s="1064" t="s">
        <v>187</v>
      </c>
      <c r="AE2" s="1065"/>
      <c r="AF2" s="1065"/>
      <c r="AG2" s="1065"/>
      <c r="AH2" s="1065"/>
      <c r="AI2" s="1065"/>
      <c r="AJ2" s="1066"/>
    </row>
    <row r="3" spans="1:40" s="32" customFormat="1" ht="46.5" customHeight="1" thickTop="1">
      <c r="A3" s="1040" t="s">
        <v>4</v>
      </c>
      <c r="B3" s="1042" t="s">
        <v>20</v>
      </c>
      <c r="C3" s="1042" t="s">
        <v>101</v>
      </c>
      <c r="D3" s="1023" t="s">
        <v>102</v>
      </c>
      <c r="E3" s="1023" t="s">
        <v>24</v>
      </c>
      <c r="F3" s="1023" t="s">
        <v>105</v>
      </c>
      <c r="G3" s="1044" t="s">
        <v>5</v>
      </c>
      <c r="H3" s="1045"/>
      <c r="I3" s="1023" t="s">
        <v>34</v>
      </c>
      <c r="J3" s="1023" t="s">
        <v>77</v>
      </c>
      <c r="K3" s="1017" t="s">
        <v>194</v>
      </c>
      <c r="L3" s="1017" t="s">
        <v>381</v>
      </c>
      <c r="M3" s="1018" t="s">
        <v>374</v>
      </c>
      <c r="N3" s="597" t="s">
        <v>415</v>
      </c>
      <c r="O3" s="597" t="s">
        <v>416</v>
      </c>
      <c r="P3" s="1016" t="s">
        <v>417</v>
      </c>
      <c r="Q3" s="1016"/>
      <c r="R3" s="1016"/>
      <c r="S3" s="1016"/>
      <c r="T3" s="1016"/>
      <c r="U3" s="1016"/>
      <c r="V3" s="1016"/>
      <c r="W3" s="1016" t="s">
        <v>430</v>
      </c>
      <c r="X3" s="1016"/>
      <c r="Y3" s="1016"/>
      <c r="Z3" s="1016"/>
      <c r="AA3" s="1016"/>
      <c r="AB3" s="1016"/>
      <c r="AC3" s="1016"/>
      <c r="AD3" s="1067"/>
      <c r="AE3" s="1068"/>
      <c r="AF3" s="1068"/>
      <c r="AG3" s="1068"/>
      <c r="AH3" s="1068"/>
      <c r="AI3" s="1068"/>
      <c r="AJ3" s="1069"/>
      <c r="AL3" s="1031" t="s">
        <v>548</v>
      </c>
      <c r="AM3" s="1032"/>
      <c r="AN3" s="1033"/>
    </row>
    <row r="4" spans="1:40" s="32" customFormat="1" ht="13.2">
      <c r="A4" s="1041"/>
      <c r="B4" s="1043"/>
      <c r="C4" s="1043"/>
      <c r="D4" s="1019"/>
      <c r="E4" s="1019"/>
      <c r="F4" s="1019"/>
      <c r="G4" s="533" t="s">
        <v>46</v>
      </c>
      <c r="H4" s="533"/>
      <c r="I4" s="1019"/>
      <c r="J4" s="1019"/>
      <c r="K4" s="1017"/>
      <c r="L4" s="1017"/>
      <c r="M4" s="1019"/>
      <c r="N4" s="596"/>
      <c r="O4" s="596"/>
      <c r="P4" s="33" t="s">
        <v>66</v>
      </c>
      <c r="Q4" s="33" t="s">
        <v>67</v>
      </c>
      <c r="R4" s="33" t="s">
        <v>68</v>
      </c>
      <c r="S4" s="33" t="s">
        <v>69</v>
      </c>
      <c r="T4" s="33" t="s">
        <v>70</v>
      </c>
      <c r="U4" s="33" t="s">
        <v>71</v>
      </c>
      <c r="V4" s="34" t="s">
        <v>72</v>
      </c>
      <c r="W4" s="33" t="s">
        <v>66</v>
      </c>
      <c r="X4" s="33" t="s">
        <v>67</v>
      </c>
      <c r="Y4" s="33" t="s">
        <v>68</v>
      </c>
      <c r="Z4" s="33" t="s">
        <v>69</v>
      </c>
      <c r="AA4" s="33" t="s">
        <v>70</v>
      </c>
      <c r="AB4" s="33" t="s">
        <v>71</v>
      </c>
      <c r="AC4" s="34" t="s">
        <v>72</v>
      </c>
      <c r="AD4" s="34" t="s">
        <v>66</v>
      </c>
      <c r="AE4" s="112" t="s">
        <v>67</v>
      </c>
      <c r="AF4" s="112" t="s">
        <v>570</v>
      </c>
      <c r="AG4" s="112" t="s">
        <v>571</v>
      </c>
      <c r="AH4" s="112" t="s">
        <v>70</v>
      </c>
      <c r="AI4" s="113" t="s">
        <v>71</v>
      </c>
      <c r="AJ4" s="112" t="s">
        <v>72</v>
      </c>
      <c r="AL4" s="809" t="s">
        <v>194</v>
      </c>
      <c r="AM4" s="783" t="s">
        <v>375</v>
      </c>
      <c r="AN4" s="532" t="s">
        <v>193</v>
      </c>
    </row>
    <row r="5" spans="1:40" s="32" customFormat="1">
      <c r="A5" s="37">
        <v>1</v>
      </c>
      <c r="B5" s="35">
        <v>2</v>
      </c>
      <c r="C5" s="35">
        <v>3</v>
      </c>
      <c r="D5"/>
      <c r="E5" s="35">
        <v>4</v>
      </c>
      <c r="F5" s="35">
        <v>4</v>
      </c>
      <c r="G5" s="1034">
        <v>7</v>
      </c>
      <c r="H5" s="1035"/>
      <c r="I5" s="35">
        <v>5</v>
      </c>
      <c r="J5" s="35">
        <v>6</v>
      </c>
      <c r="K5" s="36">
        <v>1</v>
      </c>
      <c r="L5" s="36">
        <v>2</v>
      </c>
      <c r="M5" s="36">
        <v>3</v>
      </c>
      <c r="N5" s="36"/>
      <c r="O5" s="36"/>
      <c r="P5" s="36">
        <f>M5+1</f>
        <v>4</v>
      </c>
      <c r="Q5" s="36">
        <f>P5+1</f>
        <v>5</v>
      </c>
      <c r="R5" s="36">
        <f>Q5+1</f>
        <v>6</v>
      </c>
      <c r="S5" s="36">
        <f>R5+1</f>
        <v>7</v>
      </c>
      <c r="T5" s="36">
        <f>S5+1</f>
        <v>8</v>
      </c>
      <c r="U5" s="36">
        <v>20</v>
      </c>
      <c r="V5" s="36">
        <v>21</v>
      </c>
      <c r="W5" s="36"/>
      <c r="X5" s="36"/>
      <c r="Y5" s="36"/>
      <c r="Z5" s="36"/>
      <c r="AA5" s="36"/>
      <c r="AB5" s="36"/>
      <c r="AC5" s="36"/>
      <c r="AD5" s="36"/>
      <c r="AE5" s="36">
        <v>5</v>
      </c>
      <c r="AF5" s="36">
        <v>6</v>
      </c>
      <c r="AG5" s="36">
        <v>7</v>
      </c>
      <c r="AH5" s="36">
        <v>8</v>
      </c>
      <c r="AI5" s="36">
        <v>9</v>
      </c>
      <c r="AJ5" s="36">
        <v>10</v>
      </c>
      <c r="AL5" s="351" t="s">
        <v>8</v>
      </c>
      <c r="AM5" s="372">
        <f>'Mieszk. wielorodz. - baza'!D23</f>
        <v>0</v>
      </c>
      <c r="AN5" s="558" t="e">
        <f>AM5/$AM$13</f>
        <v>#DIV/0!</v>
      </c>
    </row>
    <row r="6" spans="1:40">
      <c r="A6" s="1036">
        <v>1</v>
      </c>
      <c r="B6" s="27" t="s">
        <v>21</v>
      </c>
      <c r="C6" s="28" t="s">
        <v>106</v>
      </c>
      <c r="D6" s="39">
        <v>90</v>
      </c>
      <c r="E6" s="28">
        <v>1955</v>
      </c>
      <c r="F6" s="26">
        <v>80</v>
      </c>
      <c r="G6" s="26">
        <v>3</v>
      </c>
      <c r="H6" s="26"/>
      <c r="I6" s="26">
        <f>IF(E6&lt;=1966,'Założenia,wskaźniki, listy'!$H$4,IF(E6&gt;1966,IF(E6&lt;=1985,'Założenia,wskaźniki, listy'!$H$5,IF(E6&gt;1985,IF(E6&lt;=1992,'Założenia,wskaźniki, listy'!$H$6,IF(E6&gt;1992,IF(E6&lt;=1996,'Założenia,wskaźniki, listy'!$H$7,IF(E6&gt;1996,IF(E6&lt;=2013,'Założenia,wskaźniki, listy'!$H$8)))))))))</f>
        <v>290</v>
      </c>
      <c r="J6" s="28" t="s">
        <v>33</v>
      </c>
      <c r="K6" s="28" t="s">
        <v>8</v>
      </c>
      <c r="L6" s="62">
        <f t="shared" ref="L6:L12" si="0">AM5</f>
        <v>0</v>
      </c>
      <c r="M6" s="1060">
        <f>'Mieszk. wielorodz. - baza'!AQ19-L11/3.6</f>
        <v>0</v>
      </c>
      <c r="N6" s="30">
        <f>L6*'Mieszk. wielorodz. - baza'!$BI$20</f>
        <v>0</v>
      </c>
      <c r="O6" s="30">
        <f>L6-N6</f>
        <v>0</v>
      </c>
      <c r="P6" s="346">
        <f>IF(G6="węgiel",N6*'Założenia,wskaźniki, listy'!$C$44,IF(G6="gaz",N6*'Założenia,wskaźniki, listy'!$D$44,IF(G6="drewno",N6*'Założenia,wskaźniki, listy'!$E$44,IF(G6="pelet",N6*'Założenia,wskaźniki, listy'!$F$44,IF(G6="olej opałowy",N6*'Założenia,wskaźniki, listy'!$G$44,IF(G6="sieć ciepłownicza",0,IF(G6="prąd",0,0)))))))</f>
        <v>0</v>
      </c>
      <c r="Q6" s="346">
        <f>IF(G6="węgiel",N6*'Założenia,wskaźniki, listy'!$C$45,IF(G6="gaz",N6*'Założenia,wskaźniki, listy'!$D$45,IF(G6="drewno",N6*'Założenia,wskaźniki, listy'!$E$45,IF(G6="pelet",N6*'Założenia,wskaźniki, listy'!$F$45,IF(G6="olej opałowy",N6*'Założenia,wskaźniki, listy'!$G$45,IF(G6="sieć ciepłownicza",0,IF(G6="prąd",0,0)))))))</f>
        <v>0</v>
      </c>
      <c r="R6" s="346">
        <f>IF(G6="węgiel",N6*'Założenia,wskaźniki, listy'!$C$46,IF(G6="gaz",L6*'Założenia,wskaźniki, listy'!$D$46,IF(G6="drewno",N6*'Założenia,wskaźniki, listy'!$E$46,IF(G6="pelet",N6*'Założenia,wskaźniki, listy'!$F$46,IF(G6="olej opałowy",N6*'Założenia,wskaźniki, listy'!$G$46,IF(G6="sieć ciepłownicza",N6*'Założenia,wskaźniki, listy'!$H$46,IF(G6="prąd",0,0)))))))</f>
        <v>0</v>
      </c>
      <c r="S6" s="346">
        <f>IF(G6="węgiel",N6*'Założenia,wskaźniki, listy'!$C$47,IF(G6="gaz",N6*'Założenia,wskaźniki, listy'!$D$47,IF(G6="drewno",N6*'Założenia,wskaźniki, listy'!$E$47,IF(G6="pelet",N6*'Założenia,wskaźniki, listy'!$F$47,IF(G6="olej opałowy",N6*'Założenia,wskaźniki, listy'!$G$47,IF(G6="sieć ciepłownicza",0,IF(G6="prąd",0,0)))))))</f>
        <v>0</v>
      </c>
      <c r="T6" s="346">
        <f>IF(G6="węgiel",N6*'Założenia,wskaźniki, listy'!$C$48, IF(G6="gaz",N6*'Założenia,wskaźniki, listy'!$D$48,IF(G6="drewno",N6*'Założenia,wskaźniki, listy'!$E$48,IF(G6="pelet",N6*'Założenia,wskaźniki, listy'!$F$48,IF(G6="olej opałowy",N6*'Założenia,wskaźniki, listy'!$G$48,IF(G6="sieć ciepłownicza",0,IF(G6="prąd",0,0)))))))</f>
        <v>0</v>
      </c>
      <c r="U6" s="346">
        <f>IF(G6="węgiel",N6*'Założenia,wskaźniki, listy'!$C$49, IF(G6="gaz",N6*'Założenia,wskaźniki, listy'!$D$49, IF(G6="drewno",N6*'Założenia,wskaźniki, listy'!$E$49,IF(G6="pelet",N6*'Założenia,wskaźniki, listy'!$F$49,IF(G6="olej opałowy",N6*'Założenia,wskaźniki, listy'!$G$49,IF(G6="sieć ciepłownicza",0,IF(G6="prąd",0,0)))))))</f>
        <v>0</v>
      </c>
      <c r="V6" s="346">
        <f>IF(G6="węgiel",N6*'Założenia,wskaźniki, listy'!$C$50,IF(G6="gaz",N6*'Założenia,wskaźniki, listy'!$D$50, IF(G6="drewno",N6*'Założenia,wskaźniki, listy'!$E$50,IF(G6="pelet",N6*'Założenia,wskaźniki, listy'!$F$50,IF(G6="pelet",N6*'Założenia,wskaźniki, listy'!$F$50,IF(G6="olej opałowy",N6*'Założenia,wskaźniki, listy'!$G$50,IF(G6="sieć ciepłownicza",0,IF(G6="prąd",0,0))))))))</f>
        <v>0</v>
      </c>
      <c r="W6" s="346">
        <f>O6*'Założenia,wskaźniki, listy'!C55</f>
        <v>0</v>
      </c>
      <c r="X6" s="346">
        <f>O6*'Założenia,wskaźniki, listy'!C56</f>
        <v>0</v>
      </c>
      <c r="Y6" s="346">
        <f>O6*'Założenia,wskaźniki, listy'!C57</f>
        <v>0</v>
      </c>
      <c r="Z6" s="346">
        <f>O6*'Założenia,wskaźniki, listy'!C58</f>
        <v>0</v>
      </c>
      <c r="AA6" s="346">
        <f>O6*'Założenia,wskaźniki, listy'!C59</f>
        <v>0</v>
      </c>
      <c r="AB6" s="346">
        <f>O6*'Założenia,wskaźniki, listy'!C60</f>
        <v>0</v>
      </c>
      <c r="AC6" s="346">
        <f>O6*'Założenia,wskaźniki, listy'!C61</f>
        <v>0</v>
      </c>
      <c r="AD6" s="346">
        <f>P6+W6</f>
        <v>0</v>
      </c>
      <c r="AE6" s="346">
        <f t="shared" ref="AE6:AJ6" si="1">Q6+X6</f>
        <v>0</v>
      </c>
      <c r="AF6" s="346">
        <f t="shared" si="1"/>
        <v>0</v>
      </c>
      <c r="AG6" s="346">
        <f t="shared" si="1"/>
        <v>0</v>
      </c>
      <c r="AH6" s="346">
        <f t="shared" si="1"/>
        <v>0</v>
      </c>
      <c r="AI6" s="346">
        <f t="shared" si="1"/>
        <v>0</v>
      </c>
      <c r="AJ6" s="346">
        <f t="shared" si="1"/>
        <v>0</v>
      </c>
      <c r="AL6" s="351" t="s">
        <v>26</v>
      </c>
      <c r="AM6" s="372">
        <f>'Mieszk. wielorodz. - baza'!D24</f>
        <v>0</v>
      </c>
      <c r="AN6" s="558" t="e">
        <f>AM6/$AM$13</f>
        <v>#DIV/0!</v>
      </c>
    </row>
    <row r="7" spans="1:40" ht="15" customHeight="1">
      <c r="A7" s="1037"/>
      <c r="B7" s="27"/>
      <c r="C7" s="28"/>
      <c r="E7" s="28"/>
      <c r="F7" s="26"/>
      <c r="G7" s="26"/>
      <c r="H7" s="26"/>
      <c r="I7" s="26">
        <f>IF(E7&lt;=1966,'Założenia,wskaźniki, listy'!$H$4,IF(E7&gt;1966,IF(E7&lt;=1985,'Założenia,wskaźniki, listy'!$H$5,IF(E7&gt;1985,IF(E7&lt;=1992,'Założenia,wskaźniki, listy'!$H$6,IF(E7&gt;1992,IF(E7&lt;=1996,'Założenia,wskaźniki, listy'!$H$7,IF(E7&gt;1996,IF(E7&lt;=2013,'Założenia,wskaźniki, listy'!$H$8)))))))))</f>
        <v>290</v>
      </c>
      <c r="J7" s="28"/>
      <c r="K7" s="28" t="s">
        <v>26</v>
      </c>
      <c r="L7" s="62">
        <f t="shared" si="0"/>
        <v>0</v>
      </c>
      <c r="M7" s="1061"/>
      <c r="N7" s="30">
        <f>L7*'Mieszk. wielorodz. - baza'!$BI$20</f>
        <v>0</v>
      </c>
      <c r="O7" s="30">
        <f t="shared" ref="O7:O11" si="2">L7-N7</f>
        <v>0</v>
      </c>
      <c r="P7" s="346">
        <f>IF(G7="węgiel",N7*'Założenia,wskaźniki, listy'!$C$44,IF(G7="gaz",N7*'Założenia,wskaźniki, listy'!$D$44,IF(G7="drewno",N7*'Założenia,wskaźniki, listy'!$E$44,IF(G7="pelet",N7*'Założenia,wskaźniki, listy'!$F$44,IF(G7="olej opałowy",N7*'Założenia,wskaźniki, listy'!$G$44,IF(G7="sieć ciepłownicza",0,IF(G7="prąd",0,0)))))))</f>
        <v>0</v>
      </c>
      <c r="Q7" s="346">
        <f>IF(G7="węgiel",N7*'Założenia,wskaźniki, listy'!$C$45,IF(G7="gaz",N7*'Założenia,wskaźniki, listy'!$D$45,IF(G7="drewno",N7*'Założenia,wskaźniki, listy'!$E$45,IF(G7="pelet",N7*'Założenia,wskaźniki, listy'!$F$45,IF(G7="olej opałowy",N7*'Założenia,wskaźniki, listy'!$G$45,IF(G7="sieć ciepłownicza",0,IF(G7="prąd",0,0)))))))</f>
        <v>0</v>
      </c>
      <c r="R7" s="346">
        <f>IF(G7="węgiel",N7*'Założenia,wskaźniki, listy'!$C$46,IF(G7="gaz",L7*'Założenia,wskaźniki, listy'!$D$46,IF(G7="drewno",N7*'Założenia,wskaźniki, listy'!$E$46,IF(G7="pelet",N7*'Założenia,wskaźniki, listy'!$F$46,IF(G7="olej opałowy",N7*'Założenia,wskaźniki, listy'!$G$46,IF(G7="sieć ciepłownicza",N7*'Założenia,wskaźniki, listy'!$H$46,IF(G7="prąd",0,0)))))))</f>
        <v>0</v>
      </c>
      <c r="S7" s="346">
        <f>IF(G7="węgiel",N7*'Założenia,wskaźniki, listy'!$C$47,IF(G7="gaz",N7*'Założenia,wskaźniki, listy'!$D$47,IF(G7="drewno",N7*'Założenia,wskaźniki, listy'!$E$47,IF(G7="pelet",N7*'Założenia,wskaźniki, listy'!$F$47,IF(G7="olej opałowy",N7*'Założenia,wskaźniki, listy'!$G$47,IF(G7="sieć ciepłownicza",0,IF(G7="prąd",0,0)))))))</f>
        <v>0</v>
      </c>
      <c r="T7" s="346">
        <f>IF(G7="węgiel",N7*'Założenia,wskaźniki, listy'!$C$48, IF(G7="gaz",N7*'Założenia,wskaźniki, listy'!$D$48,IF(G7="drewno",N7*'Założenia,wskaźniki, listy'!$E$48,IF(G7="pelet",N7*'Założenia,wskaźniki, listy'!$F$48,IF(G7="olej opałowy",N7*'Założenia,wskaźniki, listy'!$G$48,IF(G7="sieć ciepłownicza",0,IF(G7="prąd",0,0)))))))</f>
        <v>0</v>
      </c>
      <c r="U7" s="346">
        <f>IF(G7="węgiel",N7*'Założenia,wskaźniki, listy'!$C$49, IF(G7="gaz",N7*'Założenia,wskaźniki, listy'!$D$49, IF(G7="drewno",N7*'Założenia,wskaźniki, listy'!$E$49,IF(G7="pelet",N7*'Założenia,wskaźniki, listy'!$F$49,IF(G7="olej opałowy",N7*'Założenia,wskaźniki, listy'!$G$49,IF(G7="sieć ciepłownicza",0,IF(G7="prąd",0,0)))))))</f>
        <v>0</v>
      </c>
      <c r="V7" s="346">
        <f>IF(G7="węgiel",N7*'Założenia,wskaźniki, listy'!$C$50,IF(G7="gaz",N7*'Założenia,wskaźniki, listy'!$D$50, IF(G7="drewno",N7*'Założenia,wskaźniki, listy'!$E$50,IF(G7="pelet",N7*'Założenia,wskaźniki, listy'!$F$50,IF(G7="pelet",N7*'Założenia,wskaźniki, listy'!$F$50,IF(G7="olej opałowy",N7*'Założenia,wskaźniki, listy'!$G$50,IF(G7="sieć ciepłownicza",0,IF(G7="prąd",0,0))))))))</f>
        <v>0</v>
      </c>
      <c r="W7" s="346">
        <f>O7*'Założenia,wskaźniki, listy'!D55</f>
        <v>0</v>
      </c>
      <c r="X7" s="346">
        <f>O7*'Założenia,wskaźniki, listy'!D56</f>
        <v>0</v>
      </c>
      <c r="Y7" s="346">
        <f>O7*'Założenia,wskaźniki, listy'!D57</f>
        <v>0</v>
      </c>
      <c r="Z7" s="346">
        <f>O7*'Założenia,wskaźniki, listy'!D58</f>
        <v>0</v>
      </c>
      <c r="AA7" s="346">
        <f>O7*'Założenia,wskaźniki, listy'!D59</f>
        <v>0</v>
      </c>
      <c r="AB7" s="346">
        <f>O7*'Założenia,wskaźniki, listy'!D60</f>
        <v>0</v>
      </c>
      <c r="AC7" s="346">
        <f>O7*'Założenia,wskaźniki, listy'!D61</f>
        <v>0</v>
      </c>
      <c r="AD7" s="346">
        <f t="shared" ref="AD7:AD12" si="3">P7+W7</f>
        <v>0</v>
      </c>
      <c r="AE7" s="346">
        <f t="shared" ref="AE7:AE12" si="4">Q7+X7</f>
        <v>0</v>
      </c>
      <c r="AF7" s="346">
        <f t="shared" ref="AF7:AF12" si="5">R7+Y7</f>
        <v>0</v>
      </c>
      <c r="AG7" s="346">
        <f t="shared" ref="AG7:AG12" si="6">S7+Z7</f>
        <v>0</v>
      </c>
      <c r="AH7" s="346">
        <f t="shared" ref="AH7:AH12" si="7">T7+AA7</f>
        <v>0</v>
      </c>
      <c r="AI7" s="346">
        <f t="shared" ref="AI7:AI12" si="8">U7+AB7</f>
        <v>0</v>
      </c>
      <c r="AJ7" s="346">
        <f t="shared" ref="AJ7:AJ12" si="9">V7+AC7</f>
        <v>0</v>
      </c>
      <c r="AL7" s="351" t="s">
        <v>399</v>
      </c>
      <c r="AM7" s="372">
        <f>'Mieszk. wielorodz. - baza'!D25</f>
        <v>0</v>
      </c>
      <c r="AN7" s="558" t="e">
        <f t="shared" ref="AN7:AN12" si="10">AM7/$AM$13</f>
        <v>#DIV/0!</v>
      </c>
    </row>
    <row r="8" spans="1:40">
      <c r="A8" s="1036">
        <v>2</v>
      </c>
      <c r="B8" s="27" t="s">
        <v>21</v>
      </c>
      <c r="C8" s="28" t="s">
        <v>107</v>
      </c>
      <c r="D8">
        <v>94</v>
      </c>
      <c r="E8" s="28">
        <v>1991</v>
      </c>
      <c r="F8" s="26">
        <v>200</v>
      </c>
      <c r="G8" s="26">
        <v>3</v>
      </c>
      <c r="H8" s="26"/>
      <c r="I8" s="26">
        <f>IF(E8&lt;=1966,'Założenia,wskaźniki, listy'!$H$4,IF(E8&gt;1966,IF(E8&lt;=1985,'Założenia,wskaźniki, listy'!$H$5,IF(E8&gt;1985,IF(E8&lt;=1992,'Założenia,wskaźniki, listy'!$H$6,IF(E8&gt;1992,IF(E8&lt;=1996,'Założenia,wskaźniki, listy'!$H$7,IF(E8&gt;1996,IF(E8&lt;=2013,'Założenia,wskaźniki, listy'!$H$8)))))))))</f>
        <v>175</v>
      </c>
      <c r="J8" s="28" t="s">
        <v>32</v>
      </c>
      <c r="K8" s="28" t="s">
        <v>79</v>
      </c>
      <c r="L8" s="62">
        <f t="shared" si="0"/>
        <v>0</v>
      </c>
      <c r="M8" s="1061"/>
      <c r="N8" s="30">
        <f>L8*'Mieszk. wielorodz. - baza'!$BI$20</f>
        <v>0</v>
      </c>
      <c r="O8" s="30">
        <f t="shared" si="2"/>
        <v>0</v>
      </c>
      <c r="P8" s="346">
        <f>IF(G8="węgiel",N8*'Założenia,wskaźniki, listy'!$C$44,IF(G8="gaz",N8*'Założenia,wskaźniki, listy'!$D$44,IF(G8="drewno",N8*'Założenia,wskaźniki, listy'!$E$44,IF(G8="pelet",N8*'Założenia,wskaźniki, listy'!$F$44,IF(G8="olej opałowy",N8*'Założenia,wskaźniki, listy'!$G$44,IF(G8="sieć ciepłownicza",0,IF(G8="prąd",0,0)))))))</f>
        <v>0</v>
      </c>
      <c r="Q8" s="346">
        <f>IF(G8="węgiel",N8*'Założenia,wskaźniki, listy'!$C$45,IF(G8="gaz",N8*'Założenia,wskaźniki, listy'!$D$45,IF(G8="drewno",N8*'Założenia,wskaźniki, listy'!$E$45,IF(G8="pelet",N8*'Założenia,wskaźniki, listy'!$F$45,IF(G8="olej opałowy",N8*'Założenia,wskaźniki, listy'!$G$45,IF(G8="sieć ciepłownicza",0,IF(G8="prąd",0,0)))))))</f>
        <v>0</v>
      </c>
      <c r="R8" s="346">
        <f>IF(G8="węgiel",N8*'Założenia,wskaźniki, listy'!$C$46,IF(G8="gaz",L8*'Założenia,wskaźniki, listy'!$D$46,IF(G8="drewno",N8*'Założenia,wskaźniki, listy'!$E$46,IF(G8="pelet",N8*'Założenia,wskaźniki, listy'!$F$46,IF(G8="olej opałowy",N8*'Założenia,wskaźniki, listy'!$G$46,IF(G8="sieć ciepłownicza",N8*'Założenia,wskaźniki, listy'!$H$46,IF(G8="prąd",0,0)))))))</f>
        <v>0</v>
      </c>
      <c r="S8" s="346">
        <f>IF(G8="węgiel",N8*'Założenia,wskaźniki, listy'!$C$47,IF(G8="gaz",N8*'Założenia,wskaźniki, listy'!$D$47,IF(G8="drewno",N8*'Założenia,wskaźniki, listy'!$E$47,IF(G8="pelet",N8*'Założenia,wskaźniki, listy'!$F$47,IF(G8="olej opałowy",N8*'Założenia,wskaźniki, listy'!$G$47,IF(G8="sieć ciepłownicza",0,IF(G8="prąd",0,0)))))))</f>
        <v>0</v>
      </c>
      <c r="T8" s="346">
        <f>IF(G8="węgiel",N8*'Założenia,wskaźniki, listy'!$C$48, IF(G8="gaz",N8*'Założenia,wskaźniki, listy'!$D$48,IF(G8="drewno",N8*'Założenia,wskaźniki, listy'!$E$48,IF(G8="pelet",N8*'Założenia,wskaźniki, listy'!$F$48,IF(G8="olej opałowy",N8*'Założenia,wskaźniki, listy'!$G$48,IF(G8="sieć ciepłownicza",0,IF(G8="prąd",0,0)))))))</f>
        <v>0</v>
      </c>
      <c r="U8" s="346">
        <f>IF(G8="węgiel",N8*'Założenia,wskaźniki, listy'!$C$49, IF(G8="gaz",N8*'Założenia,wskaźniki, listy'!$D$49, IF(G8="drewno",N8*'Założenia,wskaźniki, listy'!$E$49,IF(G8="pelet",N8*'Założenia,wskaźniki, listy'!$F$49,IF(G8="olej opałowy",N8*'Założenia,wskaźniki, listy'!$G$49,IF(G8="sieć ciepłownicza",0,IF(G8="prąd",0,0)))))))</f>
        <v>0</v>
      </c>
      <c r="V8" s="346">
        <f>IF(G8="węgiel",N8*'Założenia,wskaźniki, listy'!$C$50,IF(G8="gaz",N8*'Założenia,wskaźniki, listy'!$D$50, IF(G8="drewno",N8*'Założenia,wskaźniki, listy'!$E$50,IF(G8="pelet",N8*'Założenia,wskaźniki, listy'!$F$50,IF(G8="pelet",N8*'Założenia,wskaźniki, listy'!$F$50,IF(G8="olej opałowy",N8*'Założenia,wskaźniki, listy'!$G$50,IF(G8="sieć ciepłownicza",0,IF(G8="prąd",0,0))))))))</f>
        <v>0</v>
      </c>
      <c r="W8" s="622">
        <f>O8*'Założenia,wskaźniki, listy'!D56</f>
        <v>0</v>
      </c>
      <c r="X8" s="622">
        <f>O8*'Założenia,wskaźniki, listy'!D57</f>
        <v>0</v>
      </c>
      <c r="Y8" s="622">
        <f>O8*'Założenia,wskaźniki, listy'!D58</f>
        <v>0</v>
      </c>
      <c r="Z8" s="622">
        <f>O8*'Założenia,wskaźniki, listy'!D59</f>
        <v>0</v>
      </c>
      <c r="AA8" s="622">
        <f>O8*'Założenia,wskaźniki, listy'!D60</f>
        <v>0</v>
      </c>
      <c r="AB8" s="622">
        <f>O8*'Założenia,wskaźniki, listy'!D61</f>
        <v>0</v>
      </c>
      <c r="AC8" s="622">
        <f>O8*'Założenia,wskaźniki, listy'!D62</f>
        <v>0</v>
      </c>
      <c r="AD8" s="346">
        <f t="shared" si="3"/>
        <v>0</v>
      </c>
      <c r="AE8" s="346">
        <f t="shared" si="4"/>
        <v>0</v>
      </c>
      <c r="AF8" s="346">
        <f t="shared" si="5"/>
        <v>0</v>
      </c>
      <c r="AG8" s="346">
        <f t="shared" si="6"/>
        <v>0</v>
      </c>
      <c r="AH8" s="346">
        <f t="shared" si="7"/>
        <v>0</v>
      </c>
      <c r="AI8" s="346">
        <f t="shared" si="8"/>
        <v>0</v>
      </c>
      <c r="AJ8" s="346">
        <f t="shared" si="9"/>
        <v>0</v>
      </c>
      <c r="AL8" s="351" t="s">
        <v>27</v>
      </c>
      <c r="AM8" s="372">
        <f>'Mieszk. wielorodz. - baza'!D26</f>
        <v>0</v>
      </c>
      <c r="AN8" s="558" t="e">
        <f t="shared" si="10"/>
        <v>#DIV/0!</v>
      </c>
    </row>
    <row r="9" spans="1:40">
      <c r="A9" s="1037"/>
      <c r="B9" s="27"/>
      <c r="C9" s="28"/>
      <c r="E9" s="28"/>
      <c r="F9" s="26"/>
      <c r="G9" s="26"/>
      <c r="H9" s="26"/>
      <c r="I9" s="26">
        <f>IF(E9&lt;=1966,'Założenia,wskaźniki, listy'!$H$4,IF(E9&gt;1966,IF(E9&lt;=1985,'Założenia,wskaźniki, listy'!$H$5,IF(E9&gt;1985,IF(E9&lt;=1992,'Założenia,wskaźniki, listy'!$H$6,IF(E9&gt;1992,IF(E9&lt;=1996,'Założenia,wskaźniki, listy'!$H$7,IF(E9&gt;1996,IF(E9&lt;=2013,'Założenia,wskaźniki, listy'!$H$8)))))))))</f>
        <v>290</v>
      </c>
      <c r="J9" s="28"/>
      <c r="K9" s="28" t="s">
        <v>27</v>
      </c>
      <c r="L9" s="62">
        <f t="shared" si="0"/>
        <v>0</v>
      </c>
      <c r="M9" s="1061"/>
      <c r="N9" s="30">
        <f>L9*'Mieszk. wielorodz. - baza'!$BI$20</f>
        <v>0</v>
      </c>
      <c r="O9" s="30">
        <f t="shared" si="2"/>
        <v>0</v>
      </c>
      <c r="P9" s="346">
        <f>IF(G9="węgiel",N9*'Założenia,wskaźniki, listy'!$C$44,IF(G9="gaz",N9*'Założenia,wskaźniki, listy'!$D$44,IF(G9="drewno",N9*'Założenia,wskaźniki, listy'!$E$44,IF(G9="pelet",N9*'Założenia,wskaźniki, listy'!$F$44,IF(G9="olej opałowy",N9*'Założenia,wskaźniki, listy'!$G$44,IF(G9="sieć ciepłownicza",0,IF(G9="prąd",0,0)))))))</f>
        <v>0</v>
      </c>
      <c r="Q9" s="346">
        <f>IF(G9="węgiel",N9*'Założenia,wskaźniki, listy'!$C$45,IF(G9="gaz",N9*'Założenia,wskaźniki, listy'!$D$45,IF(G9="drewno",N9*'Założenia,wskaźniki, listy'!$E$45,IF(G9="pelet",N9*'Założenia,wskaźniki, listy'!$F$45,IF(G9="olej opałowy",N9*'Założenia,wskaźniki, listy'!$G$45,IF(G9="sieć ciepłownicza",0,IF(G9="prąd",0,0)))))))</f>
        <v>0</v>
      </c>
      <c r="R9" s="346">
        <f>IF(G9="węgiel",N9*'Założenia,wskaźniki, listy'!$C$46,IF(G9="gaz",L9*'Założenia,wskaźniki, listy'!$D$46,IF(G9="drewno",N9*'Założenia,wskaźniki, listy'!$E$46,IF(G9="pelet",N9*'Założenia,wskaźniki, listy'!$F$46,IF(G9="olej opałowy",N9*'Założenia,wskaźniki, listy'!$G$46,IF(G9="sieć ciepłownicza",N9*'Założenia,wskaźniki, listy'!$H$46,IF(G9="prąd",0,0)))))))</f>
        <v>0</v>
      </c>
      <c r="S9" s="346">
        <f>IF(G9="węgiel",N9*'Założenia,wskaźniki, listy'!$C$47,IF(G9="gaz",N9*'Założenia,wskaźniki, listy'!$D$47,IF(G9="drewno",N9*'Założenia,wskaźniki, listy'!$E$47,IF(G9="pelet",N9*'Założenia,wskaźniki, listy'!$F$47,IF(G9="olej opałowy",N9*'Założenia,wskaźniki, listy'!$G$47,IF(G9="sieć ciepłownicza",0,IF(G9="prąd",0,0)))))))</f>
        <v>0</v>
      </c>
      <c r="T9" s="346">
        <f>IF(G9="węgiel",N9*'Założenia,wskaźniki, listy'!$C$48, IF(G9="gaz",N9*'Założenia,wskaźniki, listy'!$D$48,IF(G9="drewno",N9*'Założenia,wskaźniki, listy'!$E$48,IF(G9="pelet",N9*'Założenia,wskaźniki, listy'!$F$48,IF(G9="olej opałowy",N9*'Założenia,wskaźniki, listy'!$G$48,IF(G9="sieć ciepłownicza",0,IF(G9="prąd",0,0)))))))</f>
        <v>0</v>
      </c>
      <c r="U9" s="346">
        <f>IF(G9="węgiel",N9*'Założenia,wskaźniki, listy'!$C$49, IF(G9="gaz",N9*'Założenia,wskaźniki, listy'!$D$49, IF(G9="drewno",N9*'Założenia,wskaźniki, listy'!$E$49,IF(G9="pelet",N9*'Założenia,wskaźniki, listy'!$F$49,IF(G9="olej opałowy",N9*'Założenia,wskaźniki, listy'!$G$49,IF(G9="sieć ciepłownicza",0,IF(G9="prąd",0,0)))))))</f>
        <v>0</v>
      </c>
      <c r="V9" s="346">
        <f>IF(G9="węgiel",N9*'Założenia,wskaźniki, listy'!$C$50,IF(G9="gaz",N9*'Założenia,wskaźniki, listy'!$D$50, IF(G9="drewno",N9*'Założenia,wskaźniki, listy'!$E$50,IF(G9="pelet",N9*'Założenia,wskaźniki, listy'!$F$50,IF(G9="pelet",N9*'Założenia,wskaźniki, listy'!$F$50,IF(G9="olej opałowy",N9*'Założenia,wskaźniki, listy'!$G$50,IF(G9="sieć ciepłownicza",0,IF(G9="prąd",0,0))))))))</f>
        <v>0</v>
      </c>
      <c r="W9" s="622">
        <f>O9*'Założenia,wskaźniki, listy'!D57</f>
        <v>0</v>
      </c>
      <c r="X9" s="622">
        <f>O9*'Założenia,wskaźniki, listy'!D58</f>
        <v>0</v>
      </c>
      <c r="Y9" s="622">
        <f>O9*'Założenia,wskaźniki, listy'!D59</f>
        <v>0</v>
      </c>
      <c r="Z9" s="622">
        <f>O9*'Założenia,wskaźniki, listy'!D60</f>
        <v>0</v>
      </c>
      <c r="AA9" s="622">
        <f>O9*'Założenia,wskaźniki, listy'!D61</f>
        <v>0</v>
      </c>
      <c r="AB9" s="622">
        <f>O9*'Założenia,wskaźniki, listy'!D62</f>
        <v>0</v>
      </c>
      <c r="AC9" s="622">
        <f>O9*'Założenia,wskaźniki, listy'!D63</f>
        <v>0</v>
      </c>
      <c r="AD9" s="346">
        <f t="shared" si="3"/>
        <v>0</v>
      </c>
      <c r="AE9" s="346">
        <f t="shared" si="4"/>
        <v>0</v>
      </c>
      <c r="AF9" s="346">
        <f t="shared" si="5"/>
        <v>0</v>
      </c>
      <c r="AG9" s="346">
        <f t="shared" si="6"/>
        <v>0</v>
      </c>
      <c r="AH9" s="346">
        <f t="shared" si="7"/>
        <v>0</v>
      </c>
      <c r="AI9" s="346">
        <f t="shared" si="8"/>
        <v>0</v>
      </c>
      <c r="AJ9" s="346">
        <f t="shared" si="9"/>
        <v>0</v>
      </c>
      <c r="AL9" s="351" t="s">
        <v>7</v>
      </c>
      <c r="AM9" s="372">
        <f>'Mieszk. wielorodz. - baza'!D27</f>
        <v>0</v>
      </c>
      <c r="AN9" s="558" t="e">
        <f t="shared" si="10"/>
        <v>#DIV/0!</v>
      </c>
    </row>
    <row r="10" spans="1:40">
      <c r="A10" s="1036">
        <v>3</v>
      </c>
      <c r="B10" s="27" t="s">
        <v>21</v>
      </c>
      <c r="C10" s="1038" t="s">
        <v>108</v>
      </c>
      <c r="D10">
        <v>21</v>
      </c>
      <c r="E10" s="28">
        <v>1960</v>
      </c>
      <c r="F10" s="26">
        <v>97</v>
      </c>
      <c r="G10" s="26">
        <v>3</v>
      </c>
      <c r="H10" s="26"/>
      <c r="I10" s="26">
        <f>IF(E10&lt;=1966,'Założenia,wskaźniki, listy'!$H$4,IF(E10&gt;1966,IF(E10&lt;=1985,'Założenia,wskaźniki, listy'!$H$5,IF(E10&gt;1985,IF(E10&lt;=1992,'Założenia,wskaźniki, listy'!$H$6,IF(E10&gt;1992,IF(E10&lt;=1996,'Założenia,wskaźniki, listy'!$H$7,IF(E10&gt;1996,IF(E10&lt;=2013,'Założenia,wskaźniki, listy'!$H$8)))))))))</f>
        <v>290</v>
      </c>
      <c r="J10" s="28" t="s">
        <v>32</v>
      </c>
      <c r="K10" s="28" t="s">
        <v>7</v>
      </c>
      <c r="L10" s="62">
        <f t="shared" si="0"/>
        <v>0</v>
      </c>
      <c r="M10" s="1061"/>
      <c r="N10" s="30">
        <f>L10*'Mieszk. wielorodz. - baza'!$BI$20</f>
        <v>0</v>
      </c>
      <c r="O10" s="30">
        <f t="shared" si="2"/>
        <v>0</v>
      </c>
      <c r="P10" s="346">
        <f>IF(G10="węgiel",N10*'Założenia,wskaźniki, listy'!$C$44,IF(G10="gaz",N10*'Założenia,wskaźniki, listy'!$D$44,IF(G10="drewno",N10*'Założenia,wskaźniki, listy'!$E$44,IF(G10="pelet",N10*'Założenia,wskaźniki, listy'!$F$44,IF(G10="olej opałowy",N10*'Założenia,wskaźniki, listy'!$G$44,IF(G10="sieć ciepłownicza",0,IF(G10="prąd",0,0)))))))</f>
        <v>0</v>
      </c>
      <c r="Q10" s="346">
        <f>IF(G10="węgiel",N10*'Założenia,wskaźniki, listy'!$C$45,IF(G10="gaz",N10*'Założenia,wskaźniki, listy'!$D$45,IF(G10="drewno",N10*'Założenia,wskaźniki, listy'!$E$45,IF(G10="pelet",N10*'Założenia,wskaźniki, listy'!$F$45,IF(G10="olej opałowy",N10*'Założenia,wskaźniki, listy'!$G$45,IF(G10="sieć ciepłownicza",0,IF(G10="prąd",0,0)))))))</f>
        <v>0</v>
      </c>
      <c r="R10" s="346">
        <f>IF(G10="węgiel",N10*'Założenia,wskaźniki, listy'!$C$46,IF(G10="gaz",L10*'Założenia,wskaźniki, listy'!$D$46,IF(G10="drewno",N10*'Założenia,wskaźniki, listy'!$E$46,IF(G10="pelet",N10*'Założenia,wskaźniki, listy'!$F$46,IF(G10="olej opałowy",N10*'Założenia,wskaźniki, listy'!$G$46,IF(G10="sieć ciepłownicza",N10*'Założenia,wskaźniki, listy'!$H$46,IF(G10="prąd",0,0)))))))</f>
        <v>0</v>
      </c>
      <c r="S10" s="346">
        <f>IF(G10="węgiel",N10*'Założenia,wskaźniki, listy'!$C$47,IF(G10="gaz",N10*'Założenia,wskaźniki, listy'!$D$47,IF(G10="drewno",N10*'Założenia,wskaźniki, listy'!$E$47,IF(G10="pelet",N10*'Założenia,wskaźniki, listy'!$F$47,IF(G10="olej opałowy",N10*'Założenia,wskaźniki, listy'!$G$47,IF(G10="sieć ciepłownicza",0,IF(G10="prąd",0,0)))))))</f>
        <v>0</v>
      </c>
      <c r="T10" s="346">
        <f>IF(G10="węgiel",N10*'Założenia,wskaźniki, listy'!$C$48, IF(G10="gaz",N10*'Założenia,wskaźniki, listy'!$D$48,IF(G10="drewno",N10*'Założenia,wskaźniki, listy'!$E$48,IF(G10="pelet",N10*'Założenia,wskaźniki, listy'!$F$48,IF(G10="olej opałowy",N10*'Założenia,wskaźniki, listy'!$G$48,IF(G10="sieć ciepłownicza",0,IF(G10="prąd",0,0)))))))</f>
        <v>0</v>
      </c>
      <c r="U10" s="346">
        <f>IF(G10="węgiel",N10*'Założenia,wskaźniki, listy'!$C$49, IF(G10="gaz",N10*'Założenia,wskaźniki, listy'!$D$49, IF(G10="drewno",N10*'Założenia,wskaźniki, listy'!$E$49,IF(G10="pelet",N10*'Założenia,wskaźniki, listy'!$F$49,IF(G10="olej opałowy",N10*'Założenia,wskaźniki, listy'!$G$49,IF(G10="sieć ciepłownicza",0,IF(G10="prąd",0,0)))))))</f>
        <v>0</v>
      </c>
      <c r="V10" s="346">
        <f>IF(G10="węgiel",N10*'Założenia,wskaźniki, listy'!$C$50,IF(G10="gaz",N10*'Założenia,wskaźniki, listy'!$D$50, IF(G10="drewno",N10*'Założenia,wskaźniki, listy'!$E$50,IF(G10="pelet",N10*'Założenia,wskaźniki, listy'!$F$50,IF(G10="pelet",N10*'Założenia,wskaźniki, listy'!$F$50,IF(G10="olej opałowy",N10*'Założenia,wskaźniki, listy'!$G$50,IF(G10="sieć ciepłownicza",0,IF(G10="prąd",0,0))))))))</f>
        <v>0</v>
      </c>
      <c r="W10" s="622">
        <f>O10*'Założenia,wskaźniki, listy'!D58</f>
        <v>0</v>
      </c>
      <c r="X10" s="622">
        <f>O10*'Założenia,wskaźniki, listy'!D59</f>
        <v>0</v>
      </c>
      <c r="Y10" s="622">
        <f>O10*'Założenia,wskaźniki, listy'!D60</f>
        <v>0</v>
      </c>
      <c r="Z10" s="622">
        <f>O10*'Założenia,wskaźniki, listy'!D61</f>
        <v>0</v>
      </c>
      <c r="AA10" s="622">
        <f>O10*'Założenia,wskaźniki, listy'!D62</f>
        <v>0</v>
      </c>
      <c r="AB10" s="622">
        <f>O10*'Założenia,wskaźniki, listy'!D63</f>
        <v>0</v>
      </c>
      <c r="AC10" s="622">
        <f>O10*'Założenia,wskaźniki, listy'!D64</f>
        <v>0</v>
      </c>
      <c r="AD10" s="346">
        <f t="shared" si="3"/>
        <v>0</v>
      </c>
      <c r="AE10" s="346">
        <f t="shared" si="4"/>
        <v>0</v>
      </c>
      <c r="AF10" s="346">
        <f t="shared" si="5"/>
        <v>0</v>
      </c>
      <c r="AG10" s="346">
        <f t="shared" si="6"/>
        <v>0</v>
      </c>
      <c r="AH10" s="346">
        <f t="shared" si="7"/>
        <v>0</v>
      </c>
      <c r="AI10" s="346">
        <f t="shared" si="8"/>
        <v>0</v>
      </c>
      <c r="AJ10" s="346">
        <f t="shared" si="9"/>
        <v>0</v>
      </c>
      <c r="AL10" s="351" t="s">
        <v>9</v>
      </c>
      <c r="AM10" s="372">
        <f>'Mieszk. wielorodz. - baza'!D28</f>
        <v>0</v>
      </c>
      <c r="AN10" s="558" t="e">
        <f t="shared" si="10"/>
        <v>#DIV/0!</v>
      </c>
    </row>
    <row r="11" spans="1:40" ht="26.4">
      <c r="A11" s="1037"/>
      <c r="B11" s="27"/>
      <c r="C11" s="1039"/>
      <c r="E11" s="28"/>
      <c r="F11" s="26"/>
      <c r="G11" s="26"/>
      <c r="H11" s="26"/>
      <c r="I11" s="26">
        <f>IF(E11&lt;=1966,'Założenia,wskaźniki, listy'!$H$4,IF(E11&gt;1966,IF(E11&lt;=1985,'Założenia,wskaźniki, listy'!$H$5,IF(E11&gt;1985,IF(E11&lt;=1992,'Założenia,wskaźniki, listy'!$H$6,IF(E11&gt;1992,IF(E11&lt;=1996,'Założenia,wskaźniki, listy'!$H$7,IF(E11&gt;1996,IF(E11&lt;=2013,'Założenia,wskaźniki, listy'!$H$8)))))))))</f>
        <v>290</v>
      </c>
      <c r="J11" s="28"/>
      <c r="K11" s="350" t="str">
        <f>AL10</f>
        <v>energia elektryczna</v>
      </c>
      <c r="L11" s="62">
        <f t="shared" si="0"/>
        <v>0</v>
      </c>
      <c r="M11" s="1061"/>
      <c r="N11" s="30">
        <f>L11*'Mieszk. wielorodz. - baza'!$BI$20</f>
        <v>0</v>
      </c>
      <c r="O11" s="30">
        <f t="shared" si="2"/>
        <v>0</v>
      </c>
      <c r="P11" s="346">
        <f>IF(G11="węgiel",N11*'Założenia,wskaźniki, listy'!$C$44,IF(G11="gaz",N11*'Założenia,wskaźniki, listy'!$D$44,IF(G11="drewno",N11*'Założenia,wskaźniki, listy'!$E$44,IF(G11="pelet",N11*'Założenia,wskaźniki, listy'!$F$44,IF(G11="olej opałowy",N11*'Założenia,wskaźniki, listy'!$G$44,IF(G11="sieć ciepłownicza",0,IF(G11="prąd",0,0)))))))</f>
        <v>0</v>
      </c>
      <c r="Q11" s="346">
        <f>IF(G11="węgiel",N11*'Założenia,wskaźniki, listy'!$C$45,IF(G11="gaz",N11*'Założenia,wskaźniki, listy'!$D$45,IF(G11="drewno",N11*'Założenia,wskaźniki, listy'!$E$45,IF(G11="pelet",N11*'Założenia,wskaźniki, listy'!$F$45,IF(G11="olej opałowy",N11*'Założenia,wskaźniki, listy'!$G$45,IF(G11="sieć ciepłownicza",0,IF(G11="prąd",0,0)))))))</f>
        <v>0</v>
      </c>
      <c r="R11" s="346">
        <f>IF(G11="węgiel",N11*'Założenia,wskaźniki, listy'!$C$46,IF(G11="gaz",L11*'Założenia,wskaźniki, listy'!$D$46,IF(G11="drewno",N11*'Założenia,wskaźniki, listy'!$E$46,IF(G11="pelet",N11*'Założenia,wskaźniki, listy'!$F$46,IF(G11="olej opałowy",N11*'Założenia,wskaźniki, listy'!$G$46,IF(G11="sieć ciepłownicza",N11*'Założenia,wskaźniki, listy'!$H$46,IF(G11="prąd",0,0)))))))</f>
        <v>0</v>
      </c>
      <c r="S11" s="346">
        <f>IF(G11="węgiel",N11*'Założenia,wskaźniki, listy'!$C$47,IF(G11="gaz",N11*'Założenia,wskaźniki, listy'!$D$47,IF(G11="drewno",N11*'Założenia,wskaźniki, listy'!$E$47,IF(G11="pelet",N11*'Założenia,wskaźniki, listy'!$F$47,IF(G11="olej opałowy",N11*'Założenia,wskaźniki, listy'!$G$47,IF(G11="sieć ciepłownicza",0,IF(G11="prąd",0,0)))))))</f>
        <v>0</v>
      </c>
      <c r="T11" s="346">
        <f>IF(G11="węgiel",N11*'Założenia,wskaźniki, listy'!$C$48, IF(G11="gaz",N11*'Założenia,wskaźniki, listy'!$D$48,IF(G11="drewno",N11*'Założenia,wskaźniki, listy'!$E$48,IF(G11="pelet",N11*'Założenia,wskaźniki, listy'!$F$48,IF(G11="olej opałowy",N11*'Założenia,wskaźniki, listy'!$G$48,IF(G11="sieć ciepłownicza",0,IF(G11="prąd",0,0)))))))</f>
        <v>0</v>
      </c>
      <c r="U11" s="346">
        <f>IF(G11="węgiel",N11*'Założenia,wskaźniki, listy'!$C$49, IF(G11="gaz",N11*'Założenia,wskaźniki, listy'!$D$49, IF(G11="drewno",N11*'Założenia,wskaźniki, listy'!$E$49,IF(G11="pelet",N11*'Założenia,wskaźniki, listy'!$F$49,IF(G11="olej opałowy",N11*'Założenia,wskaźniki, listy'!$G$49,IF(G11="sieć ciepłownicza",0,IF(G11="prąd",0,0)))))))</f>
        <v>0</v>
      </c>
      <c r="V11" s="346">
        <f>IF(G11="węgiel",N11*'Założenia,wskaźniki, listy'!$C$50,IF(G11="gaz",N11*'Założenia,wskaźniki, listy'!$D$50, IF(G11="drewno",N11*'Założenia,wskaźniki, listy'!$E$50,IF(G11="pelet",N11*'Założenia,wskaźniki, listy'!$F$50,IF(G11="pelet",N11*'Założenia,wskaźniki, listy'!$F$50,IF(G11="olej opałowy",N11*'Założenia,wskaźniki, listy'!$G$50,IF(G11="sieć ciepłownicza",0,IF(G11="prąd",0,0))))))))</f>
        <v>0</v>
      </c>
      <c r="W11" s="346">
        <v>0</v>
      </c>
      <c r="X11" s="346">
        <v>0</v>
      </c>
      <c r="Y11" s="346">
        <v>0</v>
      </c>
      <c r="Z11" s="346">
        <v>0</v>
      </c>
      <c r="AA11" s="346">
        <v>0</v>
      </c>
      <c r="AB11" s="346">
        <v>0</v>
      </c>
      <c r="AC11" s="346">
        <v>0</v>
      </c>
      <c r="AD11" s="346">
        <f t="shared" si="3"/>
        <v>0</v>
      </c>
      <c r="AE11" s="346">
        <f t="shared" si="4"/>
        <v>0</v>
      </c>
      <c r="AF11" s="346">
        <f>(L11/3.6+M6)*'Założenia,wskaźniki, listy'!J46</f>
        <v>0</v>
      </c>
      <c r="AG11" s="346">
        <f t="shared" si="6"/>
        <v>0</v>
      </c>
      <c r="AH11" s="346">
        <f t="shared" si="7"/>
        <v>0</v>
      </c>
      <c r="AI11" s="346">
        <f t="shared" si="8"/>
        <v>0</v>
      </c>
      <c r="AJ11" s="346">
        <f t="shared" si="9"/>
        <v>0</v>
      </c>
      <c r="AL11" s="811" t="s">
        <v>128</v>
      </c>
      <c r="AM11" s="372">
        <v>0</v>
      </c>
      <c r="AN11" s="558" t="e">
        <f t="shared" si="10"/>
        <v>#DIV/0!</v>
      </c>
    </row>
    <row r="12" spans="1:40" ht="27.6">
      <c r="A12" s="534">
        <v>4</v>
      </c>
      <c r="B12" s="27" t="s">
        <v>21</v>
      </c>
      <c r="C12" s="535" t="s">
        <v>108</v>
      </c>
      <c r="D12">
        <v>23</v>
      </c>
      <c r="E12" s="28">
        <v>1920</v>
      </c>
      <c r="F12" s="26">
        <v>100</v>
      </c>
      <c r="G12" s="26">
        <v>3</v>
      </c>
      <c r="H12" s="26"/>
      <c r="I12" s="26">
        <f>IF(E12&lt;=1966,'Założenia,wskaźniki, listy'!$H$4,IF(E12&gt;1966,IF(E12&lt;=1985,'Założenia,wskaźniki, listy'!$H$5,IF(E12&gt;1985,IF(E12&lt;=1992,'Założenia,wskaźniki, listy'!$H$6,IF(E12&gt;1992,IF(E12&lt;=1996,'Założenia,wskaźniki, listy'!$H$7,IF(E12&gt;1996,IF(E12&lt;=2013,'Założenia,wskaźniki, listy'!$H$8)))))))))</f>
        <v>290</v>
      </c>
      <c r="J12" s="28" t="s">
        <v>33</v>
      </c>
      <c r="K12" s="811" t="str">
        <f>AL11</f>
        <v>OŹE (kolektory sloneczne)</v>
      </c>
      <c r="L12" s="62">
        <f t="shared" si="0"/>
        <v>0</v>
      </c>
      <c r="M12" s="1062"/>
      <c r="N12" s="30"/>
      <c r="O12" s="30"/>
      <c r="P12" s="346">
        <f>IF(G12="węgiel",L12*'Założenia,wskaźniki, listy'!$C$44,IF(G12="gaz",L12*'Założenia,wskaźniki, listy'!$D$44,IF(G12="drewno",L12*'Założenia,wskaźniki, listy'!$E$44,IF(G12="pelet",L12*'Założenia,wskaźniki, listy'!$F$44,IF(G12="olej opałowy",L12*'Założenia,wskaźniki, listy'!$G$44,IF(G12="sieć ciepłownicza",0,IF(G12="prąd",0,0)))))))</f>
        <v>0</v>
      </c>
      <c r="Q12" s="346">
        <f>IF(G12="węgiel",L12*'Założenia,wskaźniki, listy'!$C$45,IF(G12="gaz",L12*'Założenia,wskaźniki, listy'!$D$45,IF(G12="drewno",L12*'Założenia,wskaźniki, listy'!$E$45,IF(G12="pelet",L12*'Założenia,wskaźniki, listy'!$F$45,IF(G12="olej opałowy",L12*'Założenia,wskaźniki, listy'!$G$45,IF(G12="sieć ciepłownicza",0,IF(G12="prąd",0,0)))))))</f>
        <v>0</v>
      </c>
      <c r="R12" s="346">
        <f>IF(G12="węgiel",L12*'Założenia,wskaźniki, listy'!$C$46,IF(G12="gaz",L12*'Założenia,wskaźniki, listy'!$D$46,IF(G12="drewno",L12*'Założenia,wskaźniki, listy'!$E$46,IF(G12="pelet",L12*'Założenia,wskaźniki, listy'!$F$46,IF(G12="olej opałowy",L12*'Założenia,wskaźniki, listy'!$G$46,IF(G12="sieć ciepłownicza",L12*'Założenia,wskaźniki, listy'!$H$46,IF(G12="prąd",0,0)))))))</f>
        <v>0</v>
      </c>
      <c r="S12" s="346">
        <f>IF(G12="węgiel",L12*'Założenia,wskaźniki, listy'!$C$47,IF(G12="gaz",L12*'Założenia,wskaźniki, listy'!$D$47,IF(G12="drewno",L12*'Założenia,wskaźniki, listy'!$E$47,IF(G12="pelet",L12*'Założenia,wskaźniki, listy'!$F$47,IF(G12="olej opałowy",L12*'Założenia,wskaźniki, listy'!$G$47,IF(G12="sieć ciepłownicza",0,IF(G12="prąd",0,0)))))))</f>
        <v>0</v>
      </c>
      <c r="T12" s="346">
        <f>IF(G12="węgiel",L12*'Założenia,wskaźniki, listy'!$C$48, IF(G12="gaz",L12*'Założenia,wskaźniki, listy'!$D$48,IF(G12="drewno",L12*'Założenia,wskaźniki, listy'!$E$48,IF(G12="pelet",L12*'Założenia,wskaźniki, listy'!$F$48,IF(G12="olej opałowy",L12*'Założenia,wskaźniki, listy'!$G$48,IF(G12="sieć ciepłownicza",0,IF(G12="prąd",0,0)))))))</f>
        <v>0</v>
      </c>
      <c r="U12" s="346">
        <f>IF(G12="węgiel",L12*'Założenia,wskaźniki, listy'!$C$49, IF(G12="gaz",L12*'Założenia,wskaźniki, listy'!$D$49, IF(G12="drewno",L12*'Założenia,wskaźniki, listy'!$E$49,IF(G12="pelet",L12*'Założenia,wskaźniki, listy'!$F$49,IF(G12="olej opałowy",L12*'Założenia,wskaźniki, listy'!$G$49,IF(G12="sieć ciepłownicza",0,IF(G12="prąd",0,0)))))))</f>
        <v>0</v>
      </c>
      <c r="V12" s="346">
        <f>IF(G12="węgiel",L12*'Założenia,wskaźniki, listy'!$C$50,IF(G12="gaz",L12*'Założenia,wskaźniki, listy'!$D$50, IF(G12="drewno",L12*'Założenia,wskaźniki, listy'!$E$50,IF(G12="pelet",L12*'Założenia,wskaźniki, listy'!$F$50,IF(G12="pelet",L12*'Założenia,wskaźniki, listy'!$F$50,IF(G12="olej opałowy",L12*'Założenia,wskaźniki, listy'!$G$50,IF(G12="sieć ciepłownicza",0,IF(G12="prąd",0,0))))))))</f>
        <v>0</v>
      </c>
      <c r="W12" s="346">
        <v>0</v>
      </c>
      <c r="X12" s="346">
        <v>0</v>
      </c>
      <c r="Y12" s="346">
        <v>0</v>
      </c>
      <c r="Z12" s="346">
        <v>0</v>
      </c>
      <c r="AA12" s="346">
        <v>0</v>
      </c>
      <c r="AB12" s="346">
        <v>0</v>
      </c>
      <c r="AC12" s="346">
        <v>0</v>
      </c>
      <c r="AD12" s="346">
        <f t="shared" si="3"/>
        <v>0</v>
      </c>
      <c r="AE12" s="346">
        <f t="shared" si="4"/>
        <v>0</v>
      </c>
      <c r="AF12" s="346">
        <f t="shared" si="5"/>
        <v>0</v>
      </c>
      <c r="AG12" s="346">
        <f t="shared" si="6"/>
        <v>0</v>
      </c>
      <c r="AH12" s="346">
        <f t="shared" si="7"/>
        <v>0</v>
      </c>
      <c r="AI12" s="346">
        <f t="shared" si="8"/>
        <v>0</v>
      </c>
      <c r="AJ12" s="346">
        <f t="shared" si="9"/>
        <v>0</v>
      </c>
      <c r="AL12" s="811" t="s">
        <v>315</v>
      </c>
      <c r="AM12" s="372">
        <v>0</v>
      </c>
      <c r="AN12" s="558" t="e">
        <f t="shared" si="10"/>
        <v>#DIV/0!</v>
      </c>
    </row>
    <row r="13" spans="1:40">
      <c r="G13" s="27" t="s">
        <v>31</v>
      </c>
      <c r="H13" s="46" t="e">
        <f>J13/$J$14</f>
        <v>#DIV/0!</v>
      </c>
      <c r="I13" s="27" t="s">
        <v>121</v>
      </c>
      <c r="J13" s="44">
        <f>COUNTIF(J6:J12,"brak")</f>
        <v>0</v>
      </c>
      <c r="K13" s="350" t="s">
        <v>189</v>
      </c>
      <c r="L13" s="142">
        <f>SUM(L6:L12)</f>
        <v>0</v>
      </c>
      <c r="M13" s="348">
        <f>M6</f>
        <v>0</v>
      </c>
      <c r="N13" s="30"/>
      <c r="O13" s="30"/>
      <c r="P13" s="609"/>
      <c r="Q13" s="609"/>
      <c r="R13" s="609"/>
      <c r="S13" s="609"/>
      <c r="T13" s="609"/>
      <c r="U13" s="609"/>
      <c r="V13" s="27"/>
      <c r="W13" s="27"/>
      <c r="X13" s="27"/>
      <c r="Y13" s="27"/>
      <c r="Z13" s="27"/>
      <c r="AA13" s="27"/>
      <c r="AB13" s="27"/>
      <c r="AC13" s="27"/>
      <c r="AD13" s="64">
        <f t="shared" ref="AD13:AJ13" si="11">SUM(AD6:AD12)</f>
        <v>0</v>
      </c>
      <c r="AE13" s="64">
        <f t="shared" si="11"/>
        <v>0</v>
      </c>
      <c r="AF13" s="64">
        <f t="shared" si="11"/>
        <v>0</v>
      </c>
      <c r="AG13" s="64">
        <f t="shared" si="11"/>
        <v>0</v>
      </c>
      <c r="AH13" s="64">
        <f t="shared" si="11"/>
        <v>0</v>
      </c>
      <c r="AI13" s="64">
        <f t="shared" si="11"/>
        <v>0</v>
      </c>
      <c r="AJ13" s="64">
        <f t="shared" si="11"/>
        <v>0</v>
      </c>
      <c r="AL13" s="350" t="s">
        <v>119</v>
      </c>
      <c r="AM13" s="374">
        <f>SUM(AM5:AM12)</f>
        <v>0</v>
      </c>
      <c r="AN13" s="167" t="e">
        <f>SUM(AN5:AN12)</f>
        <v>#DIV/0!</v>
      </c>
    </row>
    <row r="14" spans="1:40">
      <c r="J14" s="25">
        <f>SUM(J13:J13)</f>
        <v>0</v>
      </c>
      <c r="L14" s="42"/>
      <c r="N14" s="348"/>
      <c r="O14" s="348"/>
      <c r="P14" s="610"/>
      <c r="Q14" s="610"/>
      <c r="R14" s="610"/>
      <c r="S14" s="610"/>
      <c r="T14" s="610"/>
      <c r="U14" s="610"/>
      <c r="V14" s="44"/>
      <c r="W14" s="44"/>
      <c r="X14" s="44"/>
      <c r="Y14" s="44"/>
      <c r="Z14" s="44"/>
      <c r="AA14" s="44"/>
      <c r="AB14" s="44"/>
      <c r="AC14" s="44"/>
      <c r="AD14" s="623"/>
    </row>
    <row r="15" spans="1:40">
      <c r="C15" s="42"/>
      <c r="L15" s="60"/>
      <c r="M15" s="42"/>
      <c r="N15" s="42"/>
      <c r="O15" s="42"/>
      <c r="P15" s="59"/>
      <c r="Q15" s="59"/>
      <c r="R15" s="59"/>
      <c r="S15" s="59"/>
      <c r="T15" s="59"/>
      <c r="U15" s="59"/>
      <c r="V15" s="42"/>
      <c r="W15" s="42"/>
      <c r="X15" s="42"/>
      <c r="Y15" s="42"/>
      <c r="Z15" s="42"/>
      <c r="AA15" s="42"/>
      <c r="AB15" s="42"/>
      <c r="AC15" s="42"/>
      <c r="AD15" s="42"/>
    </row>
    <row r="16" spans="1:40">
      <c r="C16" s="42"/>
      <c r="D16" s="27" t="s">
        <v>129</v>
      </c>
      <c r="L16" s="60"/>
      <c r="M16" s="42"/>
      <c r="N16" s="42"/>
      <c r="O16" s="42"/>
      <c r="P16" s="59"/>
      <c r="Q16" s="59"/>
      <c r="R16" s="59"/>
      <c r="S16" s="59"/>
      <c r="T16" s="59"/>
      <c r="U16" s="59"/>
      <c r="V16" s="42"/>
      <c r="W16" s="42"/>
      <c r="X16" s="42"/>
      <c r="Y16" s="42"/>
      <c r="Z16" s="42"/>
      <c r="AA16" s="42"/>
      <c r="AB16" s="42"/>
      <c r="AC16" s="42"/>
      <c r="AD16" s="42"/>
    </row>
    <row r="17" spans="1:36" ht="48" customHeight="1">
      <c r="C17" s="54"/>
      <c r="D17" s="56">
        <v>850</v>
      </c>
      <c r="E17" s="52" t="s">
        <v>130</v>
      </c>
      <c r="H17" s="25" t="s">
        <v>120</v>
      </c>
      <c r="L17" s="60"/>
      <c r="M17" s="42"/>
      <c r="N17" s="42"/>
      <c r="O17" s="42"/>
      <c r="P17" s="59"/>
      <c r="Q17" s="59"/>
      <c r="R17" s="59"/>
      <c r="S17" s="59"/>
      <c r="T17" s="59"/>
      <c r="U17" s="59"/>
      <c r="V17" s="42"/>
      <c r="W17" s="42"/>
      <c r="X17" s="42"/>
      <c r="Y17" s="42"/>
      <c r="Z17" s="42"/>
      <c r="AA17" s="42"/>
      <c r="AB17" s="42"/>
      <c r="AC17" s="42"/>
      <c r="AD17" s="42"/>
    </row>
    <row r="18" spans="1:36">
      <c r="C18" s="55"/>
      <c r="D18" s="57">
        <v>1584</v>
      </c>
      <c r="E18" s="53" t="s">
        <v>98</v>
      </c>
      <c r="H18" s="25">
        <f>520</f>
        <v>520</v>
      </c>
      <c r="J18" s="25" t="s">
        <v>97</v>
      </c>
      <c r="L18" s="60"/>
      <c r="M18" s="42"/>
      <c r="N18" s="42"/>
      <c r="O18" s="42"/>
      <c r="P18" s="59"/>
      <c r="Q18" s="59"/>
      <c r="R18" s="59"/>
      <c r="S18" s="59"/>
      <c r="T18" s="59"/>
      <c r="U18" s="59"/>
      <c r="V18" s="42"/>
      <c r="W18" s="42"/>
      <c r="X18" s="42"/>
      <c r="Y18" s="42"/>
      <c r="Z18" s="42"/>
      <c r="AA18" s="42"/>
      <c r="AB18" s="42"/>
      <c r="AC18" s="42"/>
      <c r="AD18" s="42"/>
    </row>
    <row r="19" spans="1:36">
      <c r="C19" s="42">
        <v>3.7</v>
      </c>
      <c r="D19">
        <f>D18/D17</f>
        <v>1.8635294117647059</v>
      </c>
      <c r="E19" s="25" t="s">
        <v>131</v>
      </c>
      <c r="L19" s="60"/>
      <c r="M19" s="42"/>
      <c r="N19" s="42"/>
      <c r="O19" s="42"/>
      <c r="P19" s="59"/>
      <c r="Q19" s="59"/>
      <c r="R19" s="59"/>
      <c r="S19" s="59"/>
      <c r="T19" s="59"/>
      <c r="U19" s="59"/>
      <c r="V19" s="42"/>
      <c r="W19" s="42"/>
      <c r="X19" s="42"/>
      <c r="Y19" s="42"/>
      <c r="Z19" s="42"/>
      <c r="AA19" s="42"/>
      <c r="AB19" s="42"/>
      <c r="AC19" s="42"/>
      <c r="AD19" s="42"/>
    </row>
    <row r="20" spans="1:36">
      <c r="C20" s="42" t="s">
        <v>134</v>
      </c>
      <c r="D20" t="e">
        <f>(#REF!+#REF!)/D21</f>
        <v>#REF!</v>
      </c>
      <c r="E20" s="25" t="e">
        <f>D20*E21/D21</f>
        <v>#REF!</v>
      </c>
      <c r="F20" s="25" t="s">
        <v>133</v>
      </c>
      <c r="L20" s="42"/>
      <c r="M20" s="42"/>
      <c r="N20" s="42"/>
      <c r="O20" s="42"/>
      <c r="P20" s="59"/>
      <c r="Q20" s="59"/>
      <c r="R20" s="59"/>
      <c r="S20" s="59"/>
      <c r="T20" s="59"/>
      <c r="U20" s="59"/>
      <c r="V20" s="42"/>
      <c r="W20" s="42"/>
      <c r="X20" s="42"/>
      <c r="Y20" s="42"/>
      <c r="Z20" s="42"/>
      <c r="AA20" s="42"/>
      <c r="AB20" s="42"/>
      <c r="AC20" s="42"/>
      <c r="AD20" s="42"/>
    </row>
    <row r="21" spans="1:36">
      <c r="C21" s="25" t="s">
        <v>132</v>
      </c>
      <c r="D21">
        <v>191</v>
      </c>
      <c r="E21" s="25">
        <f>D21*D19</f>
        <v>355.93411764705883</v>
      </c>
      <c r="L21" s="42"/>
      <c r="M21" s="42"/>
      <c r="N21" s="42"/>
      <c r="O21" s="42"/>
      <c r="P21" s="59"/>
      <c r="Q21" s="59"/>
      <c r="R21" s="59"/>
      <c r="S21" s="59"/>
      <c r="T21" s="59"/>
      <c r="U21" s="59"/>
      <c r="V21" s="42"/>
      <c r="W21" s="42"/>
      <c r="X21" s="42"/>
      <c r="Y21" s="42"/>
      <c r="Z21" s="42"/>
      <c r="AA21" s="42"/>
      <c r="AB21" s="42"/>
      <c r="AC21" s="42"/>
      <c r="AD21" s="42"/>
    </row>
    <row r="22" spans="1:36">
      <c r="G22" s="1030" t="s">
        <v>125</v>
      </c>
      <c r="H22" s="1030"/>
    </row>
    <row r="23" spans="1:36">
      <c r="G23" s="27" t="s">
        <v>122</v>
      </c>
      <c r="H23" s="27">
        <v>2707</v>
      </c>
      <c r="AD23" s="820">
        <f>AD13</f>
        <v>0</v>
      </c>
      <c r="AE23" s="343">
        <f>AE13</f>
        <v>0</v>
      </c>
      <c r="AF23" s="344">
        <f>AF13/100</f>
        <v>0</v>
      </c>
      <c r="AG23" s="343">
        <f>AG13*1000</f>
        <v>0</v>
      </c>
      <c r="AH23" s="343">
        <f>AH13</f>
        <v>0</v>
      </c>
      <c r="AI23" s="343">
        <f>AI13</f>
        <v>0</v>
      </c>
      <c r="AJ23" s="343">
        <f>AJ13</f>
        <v>0</v>
      </c>
    </row>
    <row r="24" spans="1:36">
      <c r="G24" s="27" t="s">
        <v>123</v>
      </c>
      <c r="H24" s="3">
        <v>241161</v>
      </c>
    </row>
    <row r="25" spans="1:36">
      <c r="A25" s="25"/>
      <c r="D25" s="25"/>
      <c r="G25" s="27" t="s">
        <v>99</v>
      </c>
      <c r="H25" s="47" t="e">
        <f>H24/#REF!*#REF!</f>
        <v>#REF!</v>
      </c>
      <c r="P25" s="25"/>
      <c r="Q25" s="25"/>
      <c r="R25" s="25"/>
      <c r="S25" s="25"/>
      <c r="T25" s="25"/>
      <c r="U25" s="25"/>
    </row>
    <row r="33" spans="11:11">
      <c r="K33" s="812" t="s">
        <v>317</v>
      </c>
    </row>
  </sheetData>
  <mergeCells count="26">
    <mergeCell ref="K1:AJ1"/>
    <mergeCell ref="K2:M2"/>
    <mergeCell ref="A3:A4"/>
    <mergeCell ref="B3:B4"/>
    <mergeCell ref="C3:C4"/>
    <mergeCell ref="D3:D4"/>
    <mergeCell ref="E3:E4"/>
    <mergeCell ref="F3:F4"/>
    <mergeCell ref="G3:H3"/>
    <mergeCell ref="P3:V3"/>
    <mergeCell ref="AD2:AJ3"/>
    <mergeCell ref="N2:AC2"/>
    <mergeCell ref="W3:AC3"/>
    <mergeCell ref="G22:H22"/>
    <mergeCell ref="L3:L4"/>
    <mergeCell ref="M3:M4"/>
    <mergeCell ref="AL3:AN3"/>
    <mergeCell ref="G5:H5"/>
    <mergeCell ref="I3:I4"/>
    <mergeCell ref="J3:J4"/>
    <mergeCell ref="K3:K4"/>
    <mergeCell ref="A6:A7"/>
    <mergeCell ref="M6:M12"/>
    <mergeCell ref="A8:A9"/>
    <mergeCell ref="A10:A11"/>
    <mergeCell ref="C10:C11"/>
  </mergeCells>
  <pageMargins left="0.7" right="0.7" top="0.75" bottom="0.75" header="0.3" footer="0.3"/>
  <pageSetup paperSize="9" scale="75" orientation="landscape" r:id="rId1"/>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600-000000000000}">
          <x14:formula1>
            <xm:f>'Założenia,wskaźniki, listy'!$N$27:$N$29</xm:f>
          </x14:formula1>
          <xm:sqref>B6:B12</xm:sqref>
        </x14:dataValidation>
        <x14:dataValidation type="list" allowBlank="1" showInputMessage="1" showErrorMessage="1" xr:uid="{00000000-0002-0000-0600-000001000000}">
          <x14:formula1>
            <xm:f>'Założenia,wskaźniki, listy'!$A$4:$A$10</xm:f>
          </x14:formula1>
          <xm:sqref>K6:K10</xm:sqref>
        </x14:dataValidation>
        <x14:dataValidation type="list" allowBlank="1" showInputMessage="1" showErrorMessage="1" xr:uid="{00000000-0002-0000-0600-000002000000}">
          <x14:formula1>
            <xm:f>'Założenia,wskaźniki, listy'!$F$13:$F$15</xm:f>
          </x14:formula1>
          <xm:sqref>J6:J12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R58"/>
  <sheetViews>
    <sheetView view="pageBreakPreview" zoomScale="115" zoomScaleNormal="100" zoomScaleSheetLayoutView="115" workbookViewId="0">
      <pane ySplit="4" topLeftCell="A5" activePane="bottomLeft" state="frozen"/>
      <selection pane="bottomLeft" activeCell="J27" sqref="J27"/>
    </sheetView>
  </sheetViews>
  <sheetFormatPr defaultRowHeight="13.8"/>
  <cols>
    <col min="1" max="1" width="15.59765625" customWidth="1"/>
    <col min="2" max="2" width="15.69921875" customWidth="1"/>
    <col min="3" max="3" width="17" customWidth="1"/>
    <col min="4" max="4" width="17.5" customWidth="1"/>
    <col min="6" max="7" width="12" hidden="1" customWidth="1"/>
    <col min="8" max="9" width="0" hidden="1" customWidth="1"/>
  </cols>
  <sheetData>
    <row r="1" spans="1:9">
      <c r="A1" s="1070" t="s">
        <v>177</v>
      </c>
      <c r="B1" s="1071"/>
      <c r="C1" s="1071"/>
      <c r="D1" s="1072"/>
    </row>
    <row r="2" spans="1:9">
      <c r="A2" s="1073" t="s">
        <v>401</v>
      </c>
      <c r="B2" s="1074"/>
      <c r="C2" s="1074"/>
      <c r="D2" s="1075"/>
      <c r="F2">
        <v>23522</v>
      </c>
      <c r="G2">
        <v>12634</v>
      </c>
    </row>
    <row r="3" spans="1:9" ht="41.4">
      <c r="A3" s="73" t="s">
        <v>400</v>
      </c>
      <c r="B3" s="74" t="s">
        <v>153</v>
      </c>
      <c r="C3" s="74" t="s">
        <v>154</v>
      </c>
      <c r="D3" s="75" t="s">
        <v>155</v>
      </c>
      <c r="F3">
        <v>2540</v>
      </c>
      <c r="G3">
        <v>2051</v>
      </c>
    </row>
    <row r="4" spans="1:9" s="39" customFormat="1" ht="30.75" customHeight="1" thickBot="1">
      <c r="A4" s="807">
        <f>216064/1000</f>
        <v>216.06399999999999</v>
      </c>
      <c r="B4" s="806">
        <f>C4*1000/3.6</f>
        <v>230.97222222222223</v>
      </c>
      <c r="C4" s="490">
        <v>0.83150000000000002</v>
      </c>
      <c r="D4" s="491">
        <f>A4*C4</f>
        <v>179.65721600000001</v>
      </c>
      <c r="F4" s="39">
        <v>2371</v>
      </c>
      <c r="G4" s="39">
        <v>2245</v>
      </c>
    </row>
    <row r="5" spans="1:9">
      <c r="F5">
        <v>16098</v>
      </c>
      <c r="G5">
        <v>8891</v>
      </c>
    </row>
    <row r="6" spans="1:9" s="458" customFormat="1">
      <c r="C6" s="459"/>
      <c r="F6" s="460">
        <f>SUM(F2:F5)</f>
        <v>44531</v>
      </c>
      <c r="G6" s="460">
        <f>SUM(G2:G5)</f>
        <v>25821</v>
      </c>
      <c r="H6" s="458">
        <f>G6/F6</f>
        <v>0.57984325526038039</v>
      </c>
      <c r="I6" s="458" t="s">
        <v>152</v>
      </c>
    </row>
    <row r="7" spans="1:9" s="458" customFormat="1">
      <c r="F7" s="458" t="s">
        <v>151</v>
      </c>
      <c r="G7" s="458">
        <v>39504.9</v>
      </c>
      <c r="H7" s="458">
        <f>G7/H6</f>
        <v>68130.308737074476</v>
      </c>
      <c r="I7" s="458" t="s">
        <v>97</v>
      </c>
    </row>
    <row r="8" spans="1:9" s="458" customFormat="1" ht="14.4" hidden="1">
      <c r="B8" s="458" t="s">
        <v>320</v>
      </c>
      <c r="D8" s="461">
        <v>143980</v>
      </c>
      <c r="E8" s="458" t="s">
        <v>321</v>
      </c>
      <c r="H8" s="458">
        <f>H7/1000</f>
        <v>68.130308737074472</v>
      </c>
    </row>
    <row r="9" spans="1:9" s="458" customFormat="1" hidden="1">
      <c r="B9" s="458">
        <v>1420</v>
      </c>
      <c r="C9" s="458">
        <f>B9*85*4000/1000000</f>
        <v>482.8</v>
      </c>
      <c r="D9" s="458">
        <f>D8/600</f>
        <v>239.96666666666667</v>
      </c>
    </row>
    <row r="10" spans="1:9" s="458" customFormat="1" hidden="1"/>
    <row r="11" spans="1:9" s="458" customFormat="1" hidden="1"/>
    <row r="12" spans="1:9" s="458" customFormat="1" hidden="1">
      <c r="C12" s="458">
        <f>815*100*4000/1000000</f>
        <v>326</v>
      </c>
    </row>
    <row r="13" spans="1:9" s="458" customFormat="1" hidden="1"/>
    <row r="14" spans="1:9" s="458" customFormat="1" hidden="1">
      <c r="D14" s="458">
        <f>C9+D17</f>
        <v>849.4666666666667</v>
      </c>
    </row>
    <row r="15" spans="1:9" s="458" customFormat="1" hidden="1">
      <c r="D15" s="458">
        <f>D14/2</f>
        <v>424.73333333333335</v>
      </c>
    </row>
    <row r="16" spans="1:9" s="458" customFormat="1" ht="14.4" hidden="1">
      <c r="C16" s="462">
        <v>220000</v>
      </c>
      <c r="D16" s="458" t="s">
        <v>321</v>
      </c>
    </row>
    <row r="17" spans="1:18" s="458" customFormat="1" hidden="1">
      <c r="C17" s="458">
        <f>C16/0.6</f>
        <v>366666.66666666669</v>
      </c>
      <c r="D17" s="458">
        <f>C17/1000</f>
        <v>366.66666666666669</v>
      </c>
      <c r="E17" s="458">
        <f>1000*815</f>
        <v>815000</v>
      </c>
    </row>
    <row r="18" spans="1:18" s="458" customFormat="1"/>
    <row r="19" spans="1:18" s="458" customFormat="1"/>
    <row r="20" spans="1:18">
      <c r="A20" s="299"/>
      <c r="B20" s="299"/>
      <c r="C20" s="299"/>
      <c r="D20" s="299"/>
      <c r="E20" s="299"/>
      <c r="F20" s="299"/>
      <c r="G20" s="299"/>
      <c r="H20" s="299"/>
      <c r="I20" s="299"/>
      <c r="J20" s="299"/>
      <c r="K20" s="299"/>
      <c r="L20" s="299"/>
      <c r="M20" s="299"/>
      <c r="N20" s="299"/>
      <c r="O20" s="299"/>
      <c r="P20" s="299"/>
      <c r="Q20" s="299"/>
      <c r="R20" s="299"/>
    </row>
    <row r="21" spans="1:18">
      <c r="A21" s="299"/>
      <c r="B21" s="299"/>
      <c r="C21" s="299"/>
      <c r="D21" s="299"/>
      <c r="E21" s="299"/>
      <c r="F21" s="299"/>
      <c r="G21" s="299"/>
      <c r="H21" s="299"/>
      <c r="I21" s="299"/>
      <c r="J21" s="299"/>
      <c r="K21" s="299"/>
      <c r="L21" s="299"/>
      <c r="M21" s="299"/>
      <c r="N21" s="299"/>
      <c r="O21" s="299"/>
      <c r="P21" s="299"/>
      <c r="Q21" s="299"/>
      <c r="R21" s="299"/>
    </row>
    <row r="22" spans="1:18">
      <c r="A22" s="299"/>
      <c r="B22" s="299"/>
      <c r="C22" s="299"/>
      <c r="D22" s="299"/>
      <c r="E22" s="299"/>
      <c r="F22" s="299"/>
      <c r="G22" s="299"/>
      <c r="H22" s="299"/>
      <c r="I22" s="299"/>
      <c r="J22" s="299"/>
      <c r="K22" s="299"/>
      <c r="L22" s="299"/>
      <c r="M22" s="299"/>
      <c r="N22" s="299"/>
      <c r="O22" s="299"/>
      <c r="P22" s="299"/>
      <c r="Q22" s="299"/>
      <c r="R22" s="299"/>
    </row>
    <row r="23" spans="1:18">
      <c r="A23" s="299"/>
      <c r="B23" s="299"/>
      <c r="C23" s="299"/>
      <c r="D23" s="299"/>
      <c r="E23" s="299"/>
      <c r="F23" s="299"/>
      <c r="G23" s="299"/>
      <c r="H23" s="299"/>
      <c r="I23" s="299"/>
      <c r="J23" s="299"/>
      <c r="K23" s="299"/>
      <c r="L23" s="299"/>
      <c r="M23" s="299"/>
      <c r="N23" s="299"/>
      <c r="O23" s="299"/>
      <c r="P23" s="299"/>
      <c r="Q23" s="299"/>
      <c r="R23" s="299"/>
    </row>
    <row r="24" spans="1:18">
      <c r="A24" s="299"/>
      <c r="B24" s="299"/>
      <c r="C24" s="299"/>
      <c r="D24" s="299"/>
      <c r="E24" s="299"/>
      <c r="F24" s="299"/>
      <c r="G24" s="299"/>
      <c r="H24" s="299"/>
      <c r="I24" s="299"/>
      <c r="J24" s="299"/>
      <c r="K24" s="299"/>
      <c r="L24" s="299"/>
      <c r="M24" s="299"/>
      <c r="N24" s="299"/>
      <c r="O24" s="299"/>
      <c r="P24" s="299"/>
      <c r="Q24" s="299"/>
      <c r="R24" s="299"/>
    </row>
    <row r="25" spans="1:18">
      <c r="A25" s="299"/>
      <c r="B25" s="299"/>
      <c r="C25" s="299"/>
      <c r="D25" s="299"/>
      <c r="E25" s="299"/>
      <c r="F25" s="299"/>
      <c r="G25" s="299"/>
      <c r="H25" s="299"/>
      <c r="I25" s="299"/>
      <c r="J25" s="299"/>
      <c r="K25" s="299"/>
      <c r="L25" s="299"/>
      <c r="M25" s="299"/>
      <c r="N25" s="299"/>
      <c r="O25" s="299"/>
      <c r="P25" s="299"/>
      <c r="Q25" s="299"/>
      <c r="R25" s="299"/>
    </row>
    <row r="26" spans="1:18">
      <c r="A26" s="299"/>
      <c r="B26" s="299"/>
      <c r="C26" s="299"/>
      <c r="D26" s="299"/>
      <c r="E26" s="299"/>
      <c r="F26" s="299"/>
      <c r="G26" s="299"/>
      <c r="H26" s="299"/>
      <c r="I26" s="299"/>
      <c r="J26" s="299"/>
      <c r="K26" s="299"/>
      <c r="L26" s="299"/>
      <c r="M26" s="299"/>
      <c r="N26" s="299"/>
      <c r="O26" s="299"/>
      <c r="P26" s="299"/>
      <c r="Q26" s="299"/>
      <c r="R26" s="299"/>
    </row>
    <row r="27" spans="1:18">
      <c r="A27" s="299"/>
      <c r="B27" s="299"/>
      <c r="C27" s="299"/>
      <c r="D27" s="299"/>
      <c r="E27" s="299"/>
      <c r="F27" s="299"/>
      <c r="G27" s="299"/>
      <c r="H27" s="299"/>
      <c r="I27" s="299"/>
      <c r="J27" s="299"/>
      <c r="K27" s="299"/>
      <c r="L27" s="299"/>
      <c r="M27" s="299"/>
      <c r="N27" s="299"/>
      <c r="O27" s="299"/>
      <c r="P27" s="299"/>
      <c r="Q27" s="299"/>
      <c r="R27" s="299"/>
    </row>
    <row r="28" spans="1:18">
      <c r="A28" s="299"/>
      <c r="B28" s="299"/>
      <c r="C28" s="299"/>
      <c r="D28" s="299"/>
      <c r="E28" s="299"/>
      <c r="F28" s="299"/>
      <c r="G28" s="299"/>
      <c r="H28" s="299"/>
      <c r="I28" s="299"/>
      <c r="J28" s="299"/>
      <c r="K28" s="299"/>
      <c r="L28" s="299"/>
      <c r="M28" s="299"/>
      <c r="N28" s="299"/>
      <c r="O28" s="299"/>
      <c r="P28" s="299"/>
      <c r="Q28" s="299"/>
      <c r="R28" s="299"/>
    </row>
    <row r="29" spans="1:18">
      <c r="A29" s="299"/>
      <c r="B29" s="299"/>
      <c r="C29" s="299"/>
      <c r="D29" s="299"/>
      <c r="E29" s="299"/>
      <c r="F29" s="299"/>
      <c r="G29" s="299"/>
      <c r="H29" s="299"/>
      <c r="I29" s="299"/>
      <c r="J29" s="299"/>
      <c r="K29" s="299"/>
      <c r="L29" s="299"/>
      <c r="M29" s="299"/>
      <c r="N29" s="299"/>
      <c r="O29" s="299"/>
      <c r="P29" s="299"/>
      <c r="Q29" s="299"/>
      <c r="R29" s="299"/>
    </row>
    <row r="30" spans="1:18">
      <c r="A30" s="299"/>
      <c r="B30" s="299"/>
      <c r="C30" s="299"/>
      <c r="D30" s="299"/>
      <c r="E30" s="299"/>
      <c r="F30" s="299"/>
      <c r="G30" s="299"/>
      <c r="H30" s="299"/>
      <c r="I30" s="299"/>
      <c r="J30" s="299"/>
      <c r="K30" s="299"/>
      <c r="L30" s="299"/>
      <c r="M30" s="299"/>
      <c r="N30" s="299"/>
      <c r="O30" s="299"/>
      <c r="P30" s="299"/>
      <c r="Q30" s="299"/>
      <c r="R30" s="299"/>
    </row>
    <row r="31" spans="1:18">
      <c r="A31" s="299"/>
      <c r="B31" s="299"/>
      <c r="C31" s="299"/>
      <c r="D31" s="299"/>
      <c r="E31" s="299"/>
      <c r="F31" s="299"/>
      <c r="G31" s="299"/>
      <c r="H31" s="299"/>
      <c r="I31" s="299"/>
      <c r="J31" s="299"/>
      <c r="K31" s="299"/>
      <c r="L31" s="299"/>
      <c r="M31" s="299"/>
      <c r="N31" s="299"/>
      <c r="O31" s="299"/>
      <c r="P31" s="299"/>
      <c r="Q31" s="299"/>
      <c r="R31" s="299"/>
    </row>
    <row r="32" spans="1:18">
      <c r="A32" s="299"/>
      <c r="B32" s="299"/>
      <c r="C32" s="299"/>
      <c r="D32" s="299"/>
      <c r="E32" s="299"/>
      <c r="F32" s="299"/>
      <c r="G32" s="299"/>
      <c r="H32" s="299"/>
      <c r="I32" s="299"/>
      <c r="J32" s="299"/>
      <c r="K32" s="299"/>
      <c r="L32" s="299"/>
      <c r="M32" s="299"/>
      <c r="N32" s="299"/>
      <c r="O32" s="299"/>
      <c r="P32" s="299"/>
      <c r="Q32" s="299"/>
      <c r="R32" s="299"/>
    </row>
    <row r="33" spans="1:18">
      <c r="A33" s="299"/>
      <c r="B33" s="299"/>
      <c r="C33" s="299"/>
      <c r="D33" s="299"/>
      <c r="E33" s="299"/>
      <c r="F33" s="299"/>
      <c r="G33" s="299"/>
      <c r="H33" s="299"/>
      <c r="I33" s="299"/>
      <c r="J33" s="299"/>
      <c r="K33" s="299"/>
      <c r="L33" s="299"/>
      <c r="M33" s="299"/>
      <c r="N33" s="299"/>
      <c r="O33" s="299"/>
      <c r="P33" s="299"/>
      <c r="Q33" s="299"/>
      <c r="R33" s="299"/>
    </row>
    <row r="34" spans="1:18">
      <c r="A34" s="299"/>
      <c r="B34" s="299"/>
      <c r="C34" s="299"/>
      <c r="D34" s="299"/>
      <c r="E34" s="299"/>
      <c r="F34" s="299"/>
      <c r="G34" s="299"/>
      <c r="H34" s="299"/>
      <c r="I34" s="299"/>
      <c r="J34" s="299"/>
      <c r="K34" s="299"/>
      <c r="L34" s="299"/>
      <c r="M34" s="299"/>
      <c r="N34" s="299"/>
      <c r="O34" s="299"/>
      <c r="P34" s="299"/>
      <c r="Q34" s="299"/>
      <c r="R34" s="299"/>
    </row>
    <row r="35" spans="1:18">
      <c r="A35" s="299"/>
      <c r="B35" s="299"/>
      <c r="C35" s="299"/>
      <c r="D35" s="299"/>
      <c r="E35" s="299"/>
      <c r="F35" s="299"/>
      <c r="G35" s="299"/>
      <c r="H35" s="299"/>
      <c r="I35" s="299"/>
      <c r="J35" s="299"/>
      <c r="K35" s="299"/>
      <c r="L35" s="299"/>
      <c r="M35" s="299"/>
      <c r="N35" s="299"/>
      <c r="O35" s="299"/>
      <c r="P35" s="299"/>
      <c r="Q35" s="299"/>
      <c r="R35" s="299"/>
    </row>
    <row r="36" spans="1:18">
      <c r="A36" s="299"/>
      <c r="B36" s="299"/>
      <c r="C36" s="299"/>
      <c r="D36" s="299"/>
      <c r="E36" s="299"/>
      <c r="F36" s="299"/>
      <c r="G36" s="299"/>
      <c r="H36" s="299"/>
      <c r="I36" s="299"/>
      <c r="J36" s="299"/>
      <c r="K36" s="299"/>
      <c r="L36" s="299"/>
      <c r="M36" s="299"/>
      <c r="N36" s="299"/>
      <c r="O36" s="299"/>
      <c r="P36" s="299"/>
      <c r="Q36" s="299"/>
      <c r="R36" s="299"/>
    </row>
    <row r="37" spans="1:18">
      <c r="A37" s="299"/>
      <c r="B37" s="299"/>
      <c r="C37" s="299"/>
      <c r="D37" s="299"/>
      <c r="E37" s="299"/>
      <c r="F37" s="299"/>
      <c r="G37" s="299"/>
      <c r="H37" s="299"/>
      <c r="I37" s="299"/>
      <c r="J37" s="299"/>
      <c r="K37" s="299"/>
      <c r="L37" s="299"/>
      <c r="M37" s="299"/>
      <c r="N37" s="299"/>
      <c r="O37" s="299"/>
      <c r="P37" s="299"/>
      <c r="Q37" s="299"/>
      <c r="R37" s="299"/>
    </row>
    <row r="38" spans="1:18">
      <c r="A38" s="299"/>
      <c r="B38" s="299"/>
      <c r="C38" s="299"/>
      <c r="D38" s="299"/>
      <c r="E38" s="299"/>
      <c r="F38" s="299"/>
      <c r="G38" s="299"/>
      <c r="H38" s="299"/>
      <c r="I38" s="299"/>
      <c r="J38" s="299"/>
      <c r="K38" s="299"/>
      <c r="L38" s="299"/>
      <c r="M38" s="299"/>
      <c r="N38" s="299"/>
      <c r="O38" s="299"/>
      <c r="P38" s="299"/>
      <c r="Q38" s="299"/>
      <c r="R38" s="299"/>
    </row>
    <row r="39" spans="1:18">
      <c r="A39" s="299"/>
      <c r="B39" s="299"/>
      <c r="C39" s="299"/>
      <c r="D39" s="299"/>
      <c r="E39" s="299"/>
      <c r="F39" s="299"/>
      <c r="G39" s="299"/>
      <c r="H39" s="299"/>
      <c r="I39" s="299"/>
      <c r="J39" s="299"/>
      <c r="K39" s="299"/>
      <c r="L39" s="299"/>
      <c r="M39" s="299"/>
      <c r="N39" s="299"/>
      <c r="O39" s="299"/>
      <c r="P39" s="299"/>
      <c r="Q39" s="299"/>
      <c r="R39" s="299"/>
    </row>
    <row r="40" spans="1:18">
      <c r="A40" s="299"/>
      <c r="B40" s="299"/>
      <c r="C40" s="299"/>
      <c r="D40" s="299"/>
      <c r="E40" s="299"/>
      <c r="F40" s="299"/>
      <c r="G40" s="299"/>
      <c r="H40" s="299"/>
      <c r="I40" s="299"/>
      <c r="J40" s="299"/>
      <c r="K40" s="299"/>
      <c r="L40" s="299"/>
      <c r="M40" s="299"/>
      <c r="N40" s="299"/>
      <c r="O40" s="299"/>
      <c r="P40" s="299"/>
      <c r="Q40" s="299"/>
      <c r="R40" s="299"/>
    </row>
    <row r="41" spans="1:18">
      <c r="A41" s="299"/>
      <c r="B41" s="299"/>
      <c r="C41" s="299"/>
      <c r="D41" s="299"/>
      <c r="E41" s="299"/>
      <c r="F41" s="299"/>
      <c r="G41" s="299"/>
      <c r="H41" s="299"/>
      <c r="I41" s="299"/>
      <c r="J41" s="299"/>
      <c r="K41" s="299"/>
      <c r="L41" s="299"/>
      <c r="M41" s="299"/>
      <c r="N41" s="299"/>
      <c r="O41" s="299"/>
      <c r="P41" s="299"/>
      <c r="Q41" s="299"/>
      <c r="R41" s="299"/>
    </row>
    <row r="42" spans="1:18">
      <c r="A42" s="299"/>
      <c r="B42" s="299"/>
      <c r="C42" s="299"/>
      <c r="D42" s="299"/>
      <c r="E42" s="299"/>
      <c r="F42" s="299"/>
      <c r="G42" s="299"/>
      <c r="H42" s="299"/>
      <c r="I42" s="299"/>
      <c r="J42" s="299"/>
      <c r="K42" s="299"/>
      <c r="L42" s="299"/>
      <c r="M42" s="299"/>
      <c r="N42" s="299"/>
      <c r="O42" s="299"/>
      <c r="P42" s="299"/>
      <c r="Q42" s="299"/>
      <c r="R42" s="299"/>
    </row>
    <row r="43" spans="1:18">
      <c r="A43" s="299"/>
      <c r="B43" s="299"/>
      <c r="C43" s="299"/>
      <c r="D43" s="299"/>
      <c r="E43" s="299"/>
      <c r="F43" s="299"/>
      <c r="G43" s="299"/>
      <c r="H43" s="299"/>
      <c r="I43" s="299"/>
      <c r="J43" s="299"/>
      <c r="K43" s="299"/>
      <c r="L43" s="299"/>
      <c r="M43" s="299"/>
      <c r="N43" s="299"/>
      <c r="O43" s="299"/>
      <c r="P43" s="299"/>
      <c r="Q43" s="299"/>
      <c r="R43" s="299"/>
    </row>
    <row r="44" spans="1:18">
      <c r="A44" s="299"/>
      <c r="B44" s="299"/>
      <c r="C44" s="299"/>
      <c r="D44" s="299"/>
      <c r="E44" s="299"/>
      <c r="F44" s="299"/>
      <c r="G44" s="299"/>
      <c r="H44" s="299"/>
      <c r="I44" s="299"/>
      <c r="J44" s="299"/>
      <c r="K44" s="299"/>
      <c r="L44" s="299"/>
      <c r="M44" s="299"/>
      <c r="N44" s="299"/>
      <c r="O44" s="299"/>
      <c r="P44" s="299"/>
      <c r="Q44" s="299"/>
      <c r="R44" s="299"/>
    </row>
    <row r="45" spans="1:18">
      <c r="A45" s="299"/>
      <c r="B45" s="299"/>
      <c r="C45" s="299"/>
      <c r="D45" s="299"/>
      <c r="E45" s="299"/>
      <c r="F45" s="299"/>
      <c r="G45" s="299"/>
      <c r="H45" s="299"/>
      <c r="I45" s="299"/>
      <c r="J45" s="299"/>
      <c r="K45" s="299"/>
      <c r="L45" s="299"/>
      <c r="M45" s="299"/>
      <c r="N45" s="299"/>
      <c r="O45" s="299"/>
      <c r="P45" s="299"/>
      <c r="Q45" s="299"/>
      <c r="R45" s="299"/>
    </row>
    <row r="46" spans="1:18">
      <c r="A46" s="299"/>
      <c r="B46" s="299"/>
      <c r="C46" s="299"/>
      <c r="D46" s="299"/>
      <c r="E46" s="299"/>
      <c r="F46" s="299"/>
      <c r="G46" s="299"/>
      <c r="H46" s="299"/>
      <c r="I46" s="299"/>
      <c r="J46" s="299"/>
      <c r="K46" s="299"/>
      <c r="L46" s="299"/>
      <c r="M46" s="299"/>
      <c r="N46" s="299"/>
      <c r="O46" s="299"/>
      <c r="P46" s="299"/>
      <c r="Q46" s="299"/>
      <c r="R46" s="299"/>
    </row>
    <row r="47" spans="1:18">
      <c r="A47" s="299"/>
      <c r="B47" s="299"/>
      <c r="C47" s="299"/>
      <c r="D47" s="299"/>
      <c r="E47" s="299"/>
      <c r="F47" s="299"/>
      <c r="G47" s="299"/>
      <c r="H47" s="299"/>
      <c r="I47" s="299"/>
      <c r="J47" s="299"/>
      <c r="K47" s="299"/>
      <c r="L47" s="299"/>
      <c r="M47" s="299"/>
      <c r="N47" s="299"/>
      <c r="O47" s="299"/>
      <c r="P47" s="299"/>
      <c r="Q47" s="299"/>
      <c r="R47" s="299"/>
    </row>
    <row r="48" spans="1:18">
      <c r="A48" s="299"/>
      <c r="B48" s="299"/>
      <c r="C48" s="299"/>
      <c r="D48" s="299"/>
      <c r="E48" s="299"/>
      <c r="F48" s="299"/>
      <c r="G48" s="299"/>
      <c r="H48" s="299"/>
      <c r="I48" s="299"/>
      <c r="J48" s="299"/>
      <c r="K48" s="299"/>
      <c r="L48" s="299"/>
      <c r="M48" s="299"/>
      <c r="N48" s="299"/>
      <c r="O48" s="299"/>
      <c r="P48" s="299"/>
      <c r="Q48" s="299"/>
      <c r="R48" s="299"/>
    </row>
    <row r="49" spans="1:18">
      <c r="A49" s="299"/>
      <c r="B49" s="299"/>
      <c r="C49" s="299"/>
      <c r="D49" s="299"/>
      <c r="E49" s="299"/>
      <c r="F49" s="299"/>
      <c r="G49" s="299"/>
      <c r="H49" s="299"/>
      <c r="I49" s="299"/>
      <c r="J49" s="299"/>
      <c r="K49" s="299"/>
      <c r="L49" s="299"/>
      <c r="M49" s="299"/>
      <c r="N49" s="299"/>
      <c r="O49" s="299"/>
      <c r="P49" s="299"/>
      <c r="Q49" s="299"/>
      <c r="R49" s="299"/>
    </row>
    <row r="50" spans="1:18">
      <c r="A50" s="299"/>
      <c r="B50" s="299"/>
      <c r="C50" s="299"/>
      <c r="D50" s="299"/>
      <c r="E50" s="299"/>
      <c r="F50" s="299"/>
      <c r="G50" s="299"/>
      <c r="H50" s="299"/>
      <c r="I50" s="299"/>
      <c r="J50" s="299"/>
      <c r="K50" s="299"/>
      <c r="L50" s="299"/>
      <c r="M50" s="299"/>
      <c r="N50" s="299"/>
      <c r="O50" s="299"/>
      <c r="P50" s="299"/>
      <c r="Q50" s="299"/>
      <c r="R50" s="299"/>
    </row>
    <row r="51" spans="1:18">
      <c r="A51" s="299"/>
      <c r="B51" s="299"/>
      <c r="C51" s="299"/>
      <c r="D51" s="299"/>
      <c r="E51" s="299"/>
      <c r="F51" s="299"/>
      <c r="G51" s="299"/>
      <c r="H51" s="299"/>
      <c r="I51" s="299"/>
      <c r="J51" s="299"/>
      <c r="K51" s="299"/>
      <c r="L51" s="299"/>
      <c r="M51" s="299"/>
      <c r="N51" s="299"/>
      <c r="O51" s="299"/>
      <c r="P51" s="299"/>
      <c r="Q51" s="299"/>
      <c r="R51" s="299"/>
    </row>
    <row r="52" spans="1:18">
      <c r="A52" s="299"/>
      <c r="B52" s="299"/>
      <c r="C52" s="299"/>
      <c r="D52" s="299"/>
      <c r="E52" s="299"/>
      <c r="F52" s="299"/>
      <c r="G52" s="299"/>
      <c r="H52" s="299"/>
      <c r="I52" s="299"/>
      <c r="J52" s="299"/>
      <c r="K52" s="299"/>
      <c r="L52" s="299"/>
      <c r="M52" s="299"/>
      <c r="N52" s="299"/>
      <c r="O52" s="299"/>
      <c r="P52" s="299"/>
      <c r="Q52" s="299"/>
      <c r="R52" s="299"/>
    </row>
    <row r="53" spans="1:18">
      <c r="A53" s="299"/>
      <c r="B53" s="299"/>
      <c r="C53" s="299"/>
      <c r="D53" s="299"/>
      <c r="E53" s="299"/>
      <c r="F53" s="299"/>
      <c r="G53" s="299"/>
      <c r="H53" s="299"/>
      <c r="I53" s="299"/>
      <c r="J53" s="299"/>
      <c r="K53" s="299"/>
      <c r="L53" s="299"/>
      <c r="M53" s="299"/>
      <c r="N53" s="299"/>
      <c r="O53" s="299"/>
      <c r="P53" s="299"/>
      <c r="Q53" s="299"/>
      <c r="R53" s="299"/>
    </row>
    <row r="54" spans="1:18">
      <c r="A54" s="299"/>
      <c r="B54" s="299"/>
      <c r="C54" s="299"/>
      <c r="D54" s="299"/>
      <c r="E54" s="299"/>
      <c r="F54" s="299"/>
      <c r="G54" s="299"/>
      <c r="H54" s="299"/>
      <c r="I54" s="299"/>
      <c r="J54" s="299"/>
      <c r="K54" s="299"/>
      <c r="L54" s="299"/>
      <c r="M54" s="299"/>
      <c r="N54" s="299"/>
      <c r="O54" s="299"/>
      <c r="P54" s="299"/>
      <c r="Q54" s="299"/>
      <c r="R54" s="299"/>
    </row>
    <row r="55" spans="1:18">
      <c r="A55" s="299"/>
      <c r="B55" s="299"/>
      <c r="C55" s="299"/>
      <c r="D55" s="299"/>
      <c r="E55" s="299"/>
      <c r="F55" s="299"/>
      <c r="G55" s="299"/>
      <c r="H55" s="299"/>
      <c r="I55" s="299"/>
      <c r="J55" s="299"/>
      <c r="K55" s="299"/>
      <c r="L55" s="299"/>
      <c r="M55" s="299"/>
      <c r="N55" s="299"/>
      <c r="O55" s="299"/>
      <c r="P55" s="299"/>
      <c r="Q55" s="299"/>
      <c r="R55" s="299"/>
    </row>
    <row r="56" spans="1:18">
      <c r="A56" s="299"/>
      <c r="B56" s="299"/>
      <c r="C56" s="299"/>
      <c r="D56" s="299"/>
      <c r="E56" s="299"/>
      <c r="F56" s="299"/>
      <c r="G56" s="299"/>
      <c r="H56" s="299"/>
      <c r="I56" s="299"/>
      <c r="J56" s="299"/>
      <c r="K56" s="299"/>
      <c r="L56" s="299"/>
      <c r="M56" s="299"/>
      <c r="N56" s="299"/>
      <c r="O56" s="299"/>
      <c r="P56" s="299"/>
      <c r="Q56" s="299"/>
      <c r="R56" s="299"/>
    </row>
    <row r="57" spans="1:18">
      <c r="A57" s="299"/>
      <c r="B57" s="299"/>
      <c r="C57" s="299"/>
      <c r="D57" s="299"/>
      <c r="E57" s="299"/>
      <c r="F57" s="299"/>
      <c r="G57" s="299"/>
      <c r="H57" s="299"/>
      <c r="I57" s="299"/>
      <c r="J57" s="299"/>
      <c r="K57" s="299"/>
      <c r="L57" s="299"/>
      <c r="M57" s="299"/>
      <c r="N57" s="299"/>
      <c r="O57" s="299"/>
      <c r="P57" s="299"/>
      <c r="Q57" s="299"/>
      <c r="R57" s="299"/>
    </row>
    <row r="58" spans="1:18">
      <c r="A58" s="299"/>
      <c r="B58" s="299"/>
      <c r="C58" s="299"/>
      <c r="D58" s="299"/>
      <c r="E58" s="299"/>
      <c r="F58" s="299"/>
      <c r="G58" s="299"/>
      <c r="H58" s="299"/>
      <c r="I58" s="299"/>
      <c r="J58" s="299"/>
      <c r="K58" s="299"/>
      <c r="L58" s="299"/>
      <c r="M58" s="299"/>
      <c r="N58" s="299"/>
      <c r="O58" s="299"/>
      <c r="P58" s="299"/>
      <c r="Q58" s="299"/>
      <c r="R58" s="299"/>
    </row>
  </sheetData>
  <mergeCells count="2">
    <mergeCell ref="A1:D1"/>
    <mergeCell ref="A2:D2"/>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AA00"/>
  </sheetPr>
  <dimension ref="A1:BS473"/>
  <sheetViews>
    <sheetView view="pageBreakPreview" zoomScale="115" zoomScaleNormal="115" zoomScaleSheetLayoutView="115" workbookViewId="0">
      <pane xSplit="7" ySplit="4" topLeftCell="H92" activePane="bottomRight" state="frozen"/>
      <selection pane="topRight" activeCell="F1" sqref="F1"/>
      <selection pane="bottomLeft" activeCell="A4" sqref="A4"/>
      <selection pane="bottomRight" activeCell="S119" sqref="S119:S120"/>
    </sheetView>
  </sheetViews>
  <sheetFormatPr defaultColWidth="9" defaultRowHeight="8.4"/>
  <cols>
    <col min="1" max="1" width="5.5" style="625" customWidth="1"/>
    <col min="2" max="2" width="8.59765625" style="625" bestFit="1" customWidth="1"/>
    <col min="3" max="3" width="9.09765625" style="625" customWidth="1"/>
    <col min="4" max="4" width="8" style="648" customWidth="1"/>
    <col min="5" max="5" width="3.59765625" style="648" customWidth="1"/>
    <col min="6" max="6" width="6.8984375" style="625" customWidth="1"/>
    <col min="7" max="7" width="5" style="625" bestFit="1" customWidth="1"/>
    <col min="8" max="8" width="2.3984375" style="625" hidden="1" customWidth="1"/>
    <col min="9" max="9" width="2.5" style="625" hidden="1" customWidth="1"/>
    <col min="10" max="10" width="11.69921875" style="625" hidden="1" customWidth="1"/>
    <col min="11" max="11" width="5.69921875" style="625" customWidth="1"/>
    <col min="12" max="12" width="6" style="625" customWidth="1"/>
    <col min="13" max="13" width="13" style="625" customWidth="1"/>
    <col min="14" max="14" width="9.09765625" style="625" customWidth="1"/>
    <col min="15" max="15" width="10.5" style="625" hidden="1" customWidth="1"/>
    <col min="16" max="16" width="9.3984375" style="625" hidden="1" customWidth="1"/>
    <col min="17" max="17" width="9" style="625" hidden="1" customWidth="1"/>
    <col min="18" max="18" width="8.69921875" style="625" customWidth="1"/>
    <col min="19" max="19" width="7.09765625" style="625" customWidth="1"/>
    <col min="20" max="25" width="7.5" style="652" hidden="1" customWidth="1"/>
    <col min="26" max="28" width="7.5" style="625" hidden="1" customWidth="1"/>
    <col min="29" max="29" width="5.5" style="625" hidden="1" customWidth="1"/>
    <col min="30" max="33" width="3.3984375" style="625" hidden="1" customWidth="1"/>
    <col min="34" max="35" width="6.19921875" style="625" hidden="1" customWidth="1"/>
    <col min="36" max="36" width="5" style="625" hidden="1" customWidth="1"/>
    <col min="37" max="37" width="4" style="625" hidden="1" customWidth="1"/>
    <col min="38" max="38" width="4.69921875" style="625" hidden="1" customWidth="1"/>
    <col min="39" max="39" width="7.59765625" style="625" customWidth="1"/>
    <col min="40" max="40" width="5.59765625" style="625" customWidth="1"/>
    <col min="41" max="41" width="5.8984375" style="625" customWidth="1"/>
    <col min="42" max="42" width="3.59765625" style="625" customWidth="1"/>
    <col min="43" max="43" width="4.8984375" style="625" customWidth="1"/>
    <col min="44" max="44" width="3.59765625" style="625" customWidth="1"/>
    <col min="45" max="46" width="3.5" style="625" customWidth="1"/>
    <col min="47" max="47" width="5.5" style="625" customWidth="1"/>
    <col min="48" max="48" width="12.09765625" style="624" hidden="1" customWidth="1"/>
    <col min="49" max="49" width="12" style="624" hidden="1" customWidth="1"/>
    <col min="50" max="50" width="8" style="624" hidden="1" customWidth="1"/>
    <col min="51" max="53" width="7.19921875" style="624" hidden="1" customWidth="1"/>
    <col min="54" max="54" width="5" style="624" hidden="1" customWidth="1"/>
    <col min="55" max="55" width="6.5" style="624" hidden="1" customWidth="1"/>
    <col min="56" max="56" width="7.19921875" style="624" hidden="1" customWidth="1"/>
    <col min="57" max="57" width="4.8984375" style="624" hidden="1" customWidth="1"/>
    <col min="58" max="58" width="6.5" style="624" hidden="1" customWidth="1"/>
    <col min="59" max="60" width="7.19921875" style="624" hidden="1" customWidth="1"/>
    <col min="61" max="63" width="3.69921875" style="624" hidden="1" customWidth="1"/>
    <col min="64" max="64" width="3.8984375" style="624" hidden="1" customWidth="1"/>
    <col min="65" max="65" width="7.19921875" style="624" hidden="1" customWidth="1"/>
    <col min="66" max="66" width="4.3984375" style="624" hidden="1" customWidth="1"/>
    <col min="67" max="68" width="3.69921875" style="624" hidden="1" customWidth="1"/>
    <col min="69" max="69" width="7.19921875" style="624" hidden="1" customWidth="1"/>
    <col min="70" max="70" width="9" style="624" customWidth="1"/>
    <col min="71" max="71" width="9" style="625" customWidth="1"/>
    <col min="72" max="16384" width="9" style="625"/>
  </cols>
  <sheetData>
    <row r="1" spans="1:71" ht="13.8">
      <c r="A1" s="1105" t="s">
        <v>434</v>
      </c>
      <c r="B1" s="1106"/>
      <c r="C1" s="1106"/>
      <c r="D1" s="1106"/>
      <c r="E1" s="1106"/>
      <c r="F1" s="1106"/>
      <c r="G1" s="1106"/>
      <c r="H1" s="1106"/>
      <c r="I1" s="1106"/>
      <c r="J1" s="1106"/>
      <c r="K1" s="1106"/>
      <c r="L1" s="1106"/>
      <c r="M1" s="1106"/>
      <c r="N1" s="1106"/>
      <c r="O1" s="1106"/>
      <c r="P1" s="1106"/>
      <c r="Q1" s="1106"/>
      <c r="R1" s="1106"/>
      <c r="S1" s="1106"/>
      <c r="T1" s="1106"/>
      <c r="U1" s="1106"/>
      <c r="V1" s="1106"/>
      <c r="W1" s="1106"/>
      <c r="X1" s="1106"/>
      <c r="Y1" s="1106"/>
      <c r="Z1" s="1106"/>
      <c r="AA1" s="1106"/>
      <c r="AB1" s="1106"/>
      <c r="AC1" s="1106"/>
      <c r="AD1" s="1106"/>
      <c r="AE1" s="1106"/>
      <c r="AF1" s="1106"/>
      <c r="AG1" s="1106"/>
      <c r="AH1" s="1106"/>
      <c r="AI1" s="1106"/>
      <c r="AJ1" s="1106"/>
      <c r="AK1" s="1106"/>
      <c r="AL1" s="1106"/>
      <c r="AM1" s="1106"/>
      <c r="AN1" s="1106"/>
      <c r="AO1" s="1106"/>
      <c r="AP1" s="1106"/>
      <c r="AQ1" s="1106"/>
      <c r="AR1" s="1106"/>
      <c r="AS1" s="1106"/>
      <c r="AT1" s="1106"/>
      <c r="AU1" s="1106"/>
      <c r="AV1" s="1103" t="s">
        <v>539</v>
      </c>
      <c r="AW1" s="1104"/>
      <c r="AX1" s="1104"/>
      <c r="AY1" s="1104"/>
      <c r="AZ1" s="1104"/>
      <c r="BA1" s="1104"/>
      <c r="BB1" s="1104"/>
      <c r="BC1" s="1104"/>
      <c r="BD1" s="1104"/>
      <c r="BE1" s="1104"/>
      <c r="BF1" s="1104"/>
      <c r="BG1" s="1104"/>
      <c r="BH1" s="1104"/>
      <c r="BI1" s="1104"/>
      <c r="BJ1" s="1104"/>
      <c r="BK1" s="1104"/>
      <c r="BL1" s="1104"/>
      <c r="BM1" s="1104"/>
      <c r="BN1" s="1104"/>
      <c r="BO1" s="1104"/>
      <c r="BP1" s="1104"/>
      <c r="BQ1" s="1104"/>
    </row>
    <row r="2" spans="1:71" s="629" customFormat="1" ht="46.5" customHeight="1">
      <c r="A2" s="1102" t="s">
        <v>4</v>
      </c>
      <c r="B2" s="1102" t="s">
        <v>20</v>
      </c>
      <c r="C2" s="1102" t="s">
        <v>319</v>
      </c>
      <c r="D2" s="1111" t="s">
        <v>101</v>
      </c>
      <c r="E2" s="1078" t="s">
        <v>623</v>
      </c>
      <c r="F2" s="1096" t="s">
        <v>24</v>
      </c>
      <c r="G2" s="1096" t="s">
        <v>183</v>
      </c>
      <c r="H2" s="1096" t="s">
        <v>184</v>
      </c>
      <c r="I2" s="1096"/>
      <c r="J2" s="1096" t="s">
        <v>34</v>
      </c>
      <c r="K2" s="1096" t="s">
        <v>402</v>
      </c>
      <c r="L2" s="1096" t="s">
        <v>25</v>
      </c>
      <c r="M2" s="1096" t="s">
        <v>435</v>
      </c>
      <c r="N2" s="1096" t="s">
        <v>78</v>
      </c>
      <c r="O2" s="1096" t="s">
        <v>432</v>
      </c>
      <c r="P2" s="1096" t="s">
        <v>47</v>
      </c>
      <c r="Q2" s="1096" t="s">
        <v>96</v>
      </c>
      <c r="R2" s="1096" t="s">
        <v>432</v>
      </c>
      <c r="S2" s="1096" t="s">
        <v>374</v>
      </c>
      <c r="T2" s="1098" t="s">
        <v>80</v>
      </c>
      <c r="U2" s="1098"/>
      <c r="V2" s="1098"/>
      <c r="W2" s="1098"/>
      <c r="X2" s="1098"/>
      <c r="Y2" s="1098"/>
      <c r="Z2" s="1098"/>
      <c r="AA2" s="1098" t="s">
        <v>81</v>
      </c>
      <c r="AB2" s="1098"/>
      <c r="AC2" s="1098"/>
      <c r="AD2" s="1098"/>
      <c r="AE2" s="1098"/>
      <c r="AF2" s="1098"/>
      <c r="AG2" s="1098"/>
      <c r="AH2" s="1097" t="s">
        <v>271</v>
      </c>
      <c r="AI2" s="1097" t="s">
        <v>272</v>
      </c>
      <c r="AJ2" s="1097" t="s">
        <v>265</v>
      </c>
      <c r="AK2" s="1097" t="s">
        <v>266</v>
      </c>
      <c r="AL2" s="1097" t="s">
        <v>267</v>
      </c>
      <c r="AM2" s="1102" t="s">
        <v>187</v>
      </c>
      <c r="AN2" s="1102"/>
      <c r="AO2" s="1102"/>
      <c r="AP2" s="1102"/>
      <c r="AQ2" s="1102"/>
      <c r="AR2" s="1102"/>
      <c r="AS2" s="1102"/>
      <c r="AT2" s="1096" t="s">
        <v>85</v>
      </c>
      <c r="AU2" s="1096" t="s">
        <v>89</v>
      </c>
      <c r="AV2" s="1094"/>
      <c r="AW2" s="1094"/>
      <c r="AX2" s="1094"/>
      <c r="AY2" s="1094"/>
      <c r="AZ2" s="1094"/>
      <c r="BA2" s="1094"/>
      <c r="BB2" s="1094"/>
      <c r="BC2" s="1094"/>
      <c r="BD2" s="1094"/>
      <c r="BE2" s="626"/>
      <c r="BF2" s="1095"/>
      <c r="BG2" s="1095"/>
      <c r="BH2" s="1095"/>
      <c r="BI2" s="1095"/>
      <c r="BJ2" s="1095"/>
      <c r="BK2" s="1095"/>
      <c r="BL2" s="627"/>
      <c r="BM2" s="627"/>
      <c r="BN2" s="627"/>
      <c r="BO2" s="627"/>
      <c r="BP2" s="627"/>
      <c r="BQ2" s="627"/>
      <c r="BR2" s="627"/>
      <c r="BS2" s="628"/>
    </row>
    <row r="3" spans="1:71" s="629" customFormat="1">
      <c r="A3" s="1102"/>
      <c r="B3" s="1102"/>
      <c r="C3" s="1102"/>
      <c r="D3" s="1111"/>
      <c r="E3" s="1079"/>
      <c r="F3" s="1096"/>
      <c r="G3" s="1096"/>
      <c r="H3" s="1096"/>
      <c r="I3" s="1096"/>
      <c r="J3" s="1096"/>
      <c r="K3" s="1096"/>
      <c r="L3" s="1096"/>
      <c r="M3" s="1096"/>
      <c r="N3" s="1096"/>
      <c r="O3" s="1096"/>
      <c r="P3" s="1096"/>
      <c r="Q3" s="1096"/>
      <c r="R3" s="1096"/>
      <c r="S3" s="1096"/>
      <c r="T3" s="630" t="s">
        <v>66</v>
      </c>
      <c r="U3" s="630" t="s">
        <v>67</v>
      </c>
      <c r="V3" s="630" t="s">
        <v>68</v>
      </c>
      <c r="W3" s="630" t="s">
        <v>69</v>
      </c>
      <c r="X3" s="630" t="s">
        <v>70</v>
      </c>
      <c r="Y3" s="630" t="s">
        <v>71</v>
      </c>
      <c r="Z3" s="630" t="s">
        <v>72</v>
      </c>
      <c r="AA3" s="630" t="s">
        <v>66</v>
      </c>
      <c r="AB3" s="630" t="s">
        <v>67</v>
      </c>
      <c r="AC3" s="630" t="s">
        <v>68</v>
      </c>
      <c r="AD3" s="630" t="s">
        <v>69</v>
      </c>
      <c r="AE3" s="630" t="s">
        <v>70</v>
      </c>
      <c r="AF3" s="630" t="s">
        <v>71</v>
      </c>
      <c r="AG3" s="630" t="s">
        <v>72</v>
      </c>
      <c r="AH3" s="1097"/>
      <c r="AI3" s="1097"/>
      <c r="AJ3" s="1097"/>
      <c r="AK3" s="1097"/>
      <c r="AL3" s="1097"/>
      <c r="AM3" s="631" t="s">
        <v>66</v>
      </c>
      <c r="AN3" s="631" t="s">
        <v>67</v>
      </c>
      <c r="AO3" s="631" t="s">
        <v>100</v>
      </c>
      <c r="AP3" s="631" t="s">
        <v>69</v>
      </c>
      <c r="AQ3" s="631" t="s">
        <v>70</v>
      </c>
      <c r="AR3" s="631" t="s">
        <v>71</v>
      </c>
      <c r="AS3" s="631" t="s">
        <v>72</v>
      </c>
      <c r="AT3" s="1096"/>
      <c r="AU3" s="1096"/>
      <c r="AV3" s="627" t="s">
        <v>114</v>
      </c>
      <c r="AW3" s="627" t="s">
        <v>115</v>
      </c>
      <c r="AX3" s="632" t="s">
        <v>38</v>
      </c>
      <c r="AY3" s="627" t="s">
        <v>115</v>
      </c>
      <c r="AZ3" s="632" t="s">
        <v>40</v>
      </c>
      <c r="BA3" s="627" t="s">
        <v>115</v>
      </c>
      <c r="BB3" s="632" t="s">
        <v>42</v>
      </c>
      <c r="BC3" s="627" t="s">
        <v>115</v>
      </c>
      <c r="BD3" s="632" t="s">
        <v>44</v>
      </c>
      <c r="BE3" s="626"/>
      <c r="BF3" s="627" t="s">
        <v>8</v>
      </c>
      <c r="BG3" s="627" t="s">
        <v>116</v>
      </c>
      <c r="BH3" s="627" t="s">
        <v>79</v>
      </c>
      <c r="BI3" s="627" t="s">
        <v>27</v>
      </c>
      <c r="BJ3" s="627" t="s">
        <v>117</v>
      </c>
      <c r="BK3" s="627" t="s">
        <v>29</v>
      </c>
      <c r="BL3" s="627" t="s">
        <v>8</v>
      </c>
      <c r="BM3" s="627" t="s">
        <v>116</v>
      </c>
      <c r="BN3" s="627" t="s">
        <v>79</v>
      </c>
      <c r="BO3" s="627" t="s">
        <v>27</v>
      </c>
      <c r="BP3" s="627" t="s">
        <v>117</v>
      </c>
      <c r="BQ3" s="627" t="s">
        <v>29</v>
      </c>
      <c r="BR3" s="627"/>
      <c r="BS3" s="628"/>
    </row>
    <row r="4" spans="1:71" s="629" customFormat="1" ht="9" thickBot="1">
      <c r="A4" s="633">
        <v>1</v>
      </c>
      <c r="B4" s="633">
        <v>2</v>
      </c>
      <c r="C4" s="633">
        <v>3</v>
      </c>
      <c r="D4" s="634">
        <v>4</v>
      </c>
      <c r="E4" s="634"/>
      <c r="F4" s="633">
        <v>5</v>
      </c>
      <c r="G4" s="633">
        <v>6</v>
      </c>
      <c r="H4" s="1102">
        <v>7</v>
      </c>
      <c r="I4" s="1102"/>
      <c r="J4" s="633" t="s">
        <v>433</v>
      </c>
      <c r="K4" s="633">
        <v>8</v>
      </c>
      <c r="L4" s="633">
        <v>9</v>
      </c>
      <c r="M4" s="633">
        <v>10</v>
      </c>
      <c r="N4" s="633">
        <v>11</v>
      </c>
      <c r="O4" s="1099" t="s">
        <v>429</v>
      </c>
      <c r="P4" s="1100"/>
      <c r="Q4" s="1101"/>
      <c r="R4" s="633">
        <v>14</v>
      </c>
      <c r="S4" s="633">
        <v>13</v>
      </c>
      <c r="T4" s="1107" t="s">
        <v>425</v>
      </c>
      <c r="U4" s="1108"/>
      <c r="V4" s="1108"/>
      <c r="W4" s="1108"/>
      <c r="X4" s="1108"/>
      <c r="Y4" s="1108"/>
      <c r="Z4" s="1108"/>
      <c r="AA4" s="1108"/>
      <c r="AB4" s="1108"/>
      <c r="AC4" s="1108"/>
      <c r="AD4" s="1108"/>
      <c r="AE4" s="1108"/>
      <c r="AF4" s="1108"/>
      <c r="AG4" s="1108"/>
      <c r="AH4" s="1108"/>
      <c r="AI4" s="1108"/>
      <c r="AJ4" s="1108"/>
      <c r="AK4" s="1108"/>
      <c r="AL4" s="1109"/>
      <c r="AM4" s="633">
        <v>14</v>
      </c>
      <c r="AN4" s="633">
        <f>AM4+1</f>
        <v>15</v>
      </c>
      <c r="AO4" s="633">
        <f t="shared" ref="AO4:AS4" si="0">AN4+1</f>
        <v>16</v>
      </c>
      <c r="AP4" s="633">
        <f t="shared" si="0"/>
        <v>17</v>
      </c>
      <c r="AQ4" s="633">
        <f t="shared" si="0"/>
        <v>18</v>
      </c>
      <c r="AR4" s="633">
        <f t="shared" si="0"/>
        <v>19</v>
      </c>
      <c r="AS4" s="633">
        <f t="shared" si="0"/>
        <v>20</v>
      </c>
      <c r="AT4" s="633">
        <v>22</v>
      </c>
      <c r="AU4" s="633">
        <v>23</v>
      </c>
      <c r="AV4" s="624">
        <f t="shared" ref="AV4:AV67" si="1">IF(F4&lt;=1966,G4)</f>
        <v>6</v>
      </c>
      <c r="AW4" s="624" t="b">
        <f t="shared" ref="AW4:AW67" si="2">IF(K4="kompletna",AV4,IF(K4="częściowa",0.5*AV4))</f>
        <v>0</v>
      </c>
      <c r="AX4" s="624" t="b">
        <f t="shared" ref="AX4:AX67" si="3">IF(F4&gt;1966,IF(F4&lt;=1985,G4))</f>
        <v>0</v>
      </c>
      <c r="AY4" s="624" t="b">
        <f t="shared" ref="AY4:AY67" si="4">IF(K4="kompletna",AX4,IF(K4="częściowa",0.5*AX4))</f>
        <v>0</v>
      </c>
      <c r="AZ4" s="624" t="b">
        <f t="shared" ref="AZ4:AZ67" si="5">IF(F4&gt;1985,IF(F4&lt;=1992,G4))</f>
        <v>0</v>
      </c>
      <c r="BA4" s="624" t="b">
        <f t="shared" ref="BA4:BA67" si="6">IF(K4="kompletna",AZ4,IF(K4="częściowa",0.5*AZ4))</f>
        <v>0</v>
      </c>
      <c r="BB4" s="624" t="b">
        <f t="shared" ref="BB4:BB67" si="7">IF(F4&gt;1992,IF(F4&lt;=1996,G4))</f>
        <v>0</v>
      </c>
      <c r="BC4" s="624" t="b">
        <f t="shared" ref="BC4:BC67" si="8">IF(K4="kompletna",BB4,IF(K4="częściowa",0.5*BB4))</f>
        <v>0</v>
      </c>
      <c r="BD4" s="624" t="b">
        <f t="shared" ref="BD4:BD67" si="9">IF(F4&gt;1996,IF(F4&lt;=2014,G4))</f>
        <v>0</v>
      </c>
      <c r="BE4" s="624" t="b">
        <f t="shared" ref="BE4:BE67" si="10">IF(K4="kompletna",BD4,IF(K4="częściowa",0.5*BD4))</f>
        <v>0</v>
      </c>
      <c r="BF4" s="624" t="b">
        <f t="shared" ref="BF4:BF67" si="11">IF(L4="węgiel",R4)</f>
        <v>0</v>
      </c>
      <c r="BG4" s="624" t="b">
        <f t="shared" ref="BG4:BG67" si="12">IF(L4="gaz",R4)</f>
        <v>0</v>
      </c>
      <c r="BH4" s="624" t="b">
        <f t="shared" ref="BH4:BH67" si="13">IF(L4="drewno",R4)</f>
        <v>0</v>
      </c>
      <c r="BI4" s="624" t="b">
        <f t="shared" ref="BI4:BI67" si="14">IF(L4="pelet",R4)</f>
        <v>0</v>
      </c>
      <c r="BJ4" s="624" t="b">
        <f t="shared" ref="BJ4:BJ67" si="15">IF(L4="olej opałowy",R4)</f>
        <v>0</v>
      </c>
      <c r="BK4" s="624" t="b">
        <f t="shared" ref="BK4:BK67" si="16">IF(L4="energia el.",R4)</f>
        <v>0</v>
      </c>
      <c r="BL4" s="624" t="b">
        <f t="shared" ref="BL4:BL67" si="17">IF(N4="węgiel",Q4)</f>
        <v>0</v>
      </c>
      <c r="BM4" s="624" t="b">
        <f t="shared" ref="BM4:BM67" si="18">IF(N4="gaz",Q4)</f>
        <v>0</v>
      </c>
      <c r="BN4" s="624" t="b">
        <f t="shared" ref="BN4:BN67" si="19">IF(N4="drewno",Q4)</f>
        <v>0</v>
      </c>
      <c r="BO4" s="624" t="b">
        <f t="shared" ref="BO4:BO67" si="20">IF(N4="pelet",Q4)</f>
        <v>0</v>
      </c>
      <c r="BP4" s="624" t="b">
        <f t="shared" ref="BP4:BP67" si="21">IF(N4="olej opałowy",Q4)</f>
        <v>0</v>
      </c>
      <c r="BQ4" s="624" t="b">
        <f t="shared" ref="BQ4:BQ67" si="22">IF(N4="energia el.",Q4)</f>
        <v>0</v>
      </c>
      <c r="BR4" s="627"/>
      <c r="BS4" s="628"/>
    </row>
    <row r="5" spans="1:71" s="643" customFormat="1">
      <c r="A5" s="1086">
        <v>1</v>
      </c>
      <c r="B5" s="635" t="s">
        <v>21</v>
      </c>
      <c r="C5" s="635" t="s">
        <v>621</v>
      </c>
      <c r="D5" s="636" t="s">
        <v>622</v>
      </c>
      <c r="E5" s="636">
        <v>18</v>
      </c>
      <c r="F5" s="635">
        <v>1960</v>
      </c>
      <c r="G5" s="635">
        <v>110</v>
      </c>
      <c r="H5" s="635"/>
      <c r="I5" s="635"/>
      <c r="J5" s="635">
        <f>IF(F5&lt;=1966,'Założenia,wskaźniki, listy'!$H$4,IF(F5&gt;1966,IF(F5&lt;=1985,'Założenia,wskaźniki, listy'!$H$5,IF(F5&gt;1985,IF(F5&lt;=1992,'Założenia,wskaźniki, listy'!$H$6,IF(F5&gt;1992,IF(F5&lt;=1996,'Założenia,wskaźniki, listy'!$H$7,IF(F5&gt;1996,IF(F5&lt;=2013,'Założenia,wskaźniki, listy'!$H$8)))))))))</f>
        <v>290</v>
      </c>
      <c r="K5" s="864" t="s">
        <v>32</v>
      </c>
      <c r="L5" s="635" t="s">
        <v>8</v>
      </c>
      <c r="M5" s="635">
        <v>2</v>
      </c>
      <c r="N5" s="635"/>
      <c r="O5" s="637">
        <f t="shared" ref="O5:O66" si="23">IF(P5&gt;0,(Q5+R5+P5)/2,Q5+R5)</f>
        <v>57.061999999999998</v>
      </c>
      <c r="P5" s="638">
        <f>IF(K5="kompletna",J5*G5*0.0036*'Założenia,wskaźniki, listy'!$P$9,IF(K5="częściowa",J5*G5*0.0036*'Założenia,wskaźniki, listy'!$P$10,IF(K5="brak",J5*G5*0.0036*'Założenia,wskaźniki, listy'!$P$11,0)))</f>
        <v>68.903999999999996</v>
      </c>
      <c r="Q5" s="638">
        <f>H5*'Założenia,wskaźniki, listy'!$L$15</f>
        <v>0</v>
      </c>
      <c r="R5" s="635">
        <f>IF(L5="węgiel",'Mieszkalne - baza'!M5*'Założenia,wskaźniki, listy'!$B$4,IF(L5="gaz",'Mieszkalne - baza'!M5*'Założenia,wskaźniki, listy'!$B$5,IF(L5="drewno",'Mieszkalne - baza'!M5*'Założenia,wskaźniki, listy'!$B$6,IF(L5="pelet",'Mieszkalne - baza'!M5*'Założenia,wskaźniki, listy'!$B$7,IF(L5="olej opałowy",'Mieszkalne - baza'!M5*'Założenia,wskaźniki, listy'!$B$8,IF(L5="sieć ciepłownicza",0,0))))))</f>
        <v>45.22</v>
      </c>
      <c r="S5" s="1084">
        <v>1.6919999999999999</v>
      </c>
      <c r="T5" s="639">
        <f>IF(L5="węgiel",R5*'Założenia,wskaźniki, listy'!$C$44,IF(L5="gaz",R5*'Założenia,wskaźniki, listy'!$D$44,IF(L5="drewno",R5*'Założenia,wskaźniki, listy'!$E$44,IF(L5="pelet",R5*'Założenia,wskaźniki, listy'!$F$44,IF(L5="olej opałowy",R5*'Założenia,wskaźniki, listy'!$G$44,IF(L5="sieć ciepłownicza",0,IF(L5="prąd",0,0)))))))</f>
        <v>1.01745E-2</v>
      </c>
      <c r="U5" s="639">
        <f>IF(L5="węgiel",R5*'Założenia,wskaźniki, listy'!$C$45,IF(L5="gaz",R5*'Założenia,wskaźniki, listy'!$D$45,IF(L5="drewno",R5*'Założenia,wskaźniki, listy'!$E$45,IF(L5="pelet",R5*'Założenia,wskaźniki, listy'!$F$45,IF(L5="olej opałowy",R5*'Założenia,wskaźniki, listy'!$G$45,IF(L5="sieć ciepłownicza",0,IF(L5="prąd",0,0)))))))</f>
        <v>9.0892200000000003E-3</v>
      </c>
      <c r="V5" s="639">
        <f>IF(L5="węgiel",R5*'Założenia,wskaźniki, listy'!$C$46,IF(L5="gaz",R5*'Założenia,wskaźniki, listy'!$D$46,IF(L5="drewno",R5*'Założenia,wskaźniki, listy'!$E$46,IF(L5="pelet",R5*'Założenia,wskaźniki, listy'!$F$46,IF(L5="olej opałowy",R5*'Założenia,wskaźniki, listy'!$G$46,IF(L5="sieć ciepłownicza",R5*'Założenia,wskaźniki, listy'!$H$46,IF(L5="prąd",R5*'Założenia,wskaźniki, listy'!$I$46,0)))))))</f>
        <v>4.2389227999999992</v>
      </c>
      <c r="W5" s="639">
        <f>IF(L5="węgiel",R5*'Założenia,wskaźniki, listy'!$C$47,IF(L5="gaz",R5*'Założenia,wskaźniki, listy'!$D$47,IF(L5="drewno",R5*'Założenia,wskaźniki, listy'!$E$47,IF(L5="pelet",R5*'Założenia,wskaźniki, listy'!$F$47,IF(L5="olej opałowy",R5*'Założenia,wskaźniki, listy'!$G$47,IF(L5="sieć ciepłownicza",0,IF(L5="prąd",0,0)))))))</f>
        <v>1.22094E-5</v>
      </c>
      <c r="X5" s="639">
        <f>IF(L5="węgiel",R5*'Założenia,wskaźniki, listy'!$C$48, IF(L5="gaz",R5*'Założenia,wskaźniki, listy'!$D$48,IF(L5="drewno",R5*'Założenia,wskaźniki, listy'!$E$48,IF(L5="pelet",R5*'Założenia,wskaźniki, listy'!$F$48,IF(L5="olej opałowy",R5*'Założenia,wskaźniki, listy'!$G$48,IF(L5="sieć ciepłownicza",0,IF(L5="prąd",0,0)))))))</f>
        <v>4.0697999999999998E-2</v>
      </c>
      <c r="Y5" s="639">
        <f>IF(L5="węgiel",R5*'Założenia,wskaźniki, listy'!$C$49, IF(L5="gaz",R5*'Założenia,wskaźniki, listy'!$D$49, IF(L5="drewno",R5*'Założenia,wskaźniki, listy'!$E$49,IF(L5="pelet",R5*'Założenia,wskaźniki, listy'!$F$49,IF(L5="olej opałowy",R5*'Założenia,wskaźniki, listy'!$G$49,IF(L5="sieć ciepłownicza",0,IF(L5="prąd",0,0)))))))</f>
        <v>7.1447599999999991E-3</v>
      </c>
      <c r="Z5" s="639">
        <f>IF(L5="węgiel",R5*'Założenia,wskaźniki, listy'!$C$50,IF(L5="gaz",R5*'Założenia,wskaźniki, listy'!$D$50, IF(L5="drewno",R5*'Założenia,wskaźniki, listy'!$E$50,IF(L5="pelet",R5*'Założenia,wskaźniki, listy'!$F$50,IF(L5="pelet",R5*'Założenia,wskaźniki, listy'!$F$50,IF(L5="olej opałowy",R5*'Założenia,wskaźniki, listy'!$G$50,IF(L5="sieć ciepłownicza",0,IF(L5="prąd",0,0))))))))</f>
        <v>9.0965578900312913E-2</v>
      </c>
      <c r="AA5" s="639">
        <f>IF(N5="węgiel",Q5*'Założenia,wskaźniki, listy'!$C$44,IF(N5="gaz",Q5*'Założenia,wskaźniki, listy'!$D$44,IF(N5="drewno",Q5*'Założenia,wskaźniki, listy'!$E$44,IF(N5="pelet",Q5*'Założenia,wskaźniki, listy'!$G$44,IF(N5="olej opałowy",Q5*'Założenia,wskaźniki, listy'!$G$44,IF(N5="sieć ciepłownicza",0,IF(N5="prąd",0,0)))))))</f>
        <v>0</v>
      </c>
      <c r="AB5" s="639">
        <f>IF(N5="węgiel",Q5*'Założenia,wskaźniki, listy'!$C$45,IF(N5="gaz",Q5*'Założenia,wskaźniki, listy'!$D$45,IF(N5="drewno",Q5*'Założenia,wskaźniki, listy'!$E$45,IF(N5="pelet",Q5*'Założenia,wskaźniki, listy'!$G$45,IF(N5="olej opałowy",Q5*'Założenia,wskaźniki, listy'!$G$45,IF(N5="sieć ciepłownicza",0,IF(N5="prąd",0,0)))))))</f>
        <v>0</v>
      </c>
      <c r="AC5" s="639">
        <f>IF(N5="węgiel",Q5*'Założenia,wskaźniki, listy'!$C$46,IF(N5="gaz",Q5*'Założenia,wskaźniki, listy'!$D$46,IF(N5="drewno",Q5*'Założenia,wskaźniki, listy'!$E$46,IF(N5="pelet",Q5*'Założenia,wskaźniki, listy'!$G$46,IF(N5="olej opałowy",Q5*'Założenia,wskaźniki, listy'!$G$46,IF(N5="sieć ciepłownicza",0,IF(N5="prąd",0,0)))))))</f>
        <v>0</v>
      </c>
      <c r="AD5" s="639">
        <f>IF(N5="węgiel",Q5*'Założenia,wskaźniki, listy'!$C$47,IF(N5="gaz",Q5*'Założenia,wskaźniki, listy'!$D$47,IF(N5="drewno",Q5*'Założenia,wskaźniki, listy'!$E$47,IF(N5="pelet",Q5*'Założenia,wskaźniki, listy'!$G$47,IF(N5="olej opałowy",Q5*'Założenia,wskaźniki, listy'!$G$47,IF(N5="sieć ciepłownicza",0,IF(N5="prąd",0,0)))))))</f>
        <v>0</v>
      </c>
      <c r="AE5" s="639">
        <f>IF(N5="węgiel",Q5*'Założenia,wskaźniki, listy'!$C$48,IF(N5="gaz",Q5*'Założenia,wskaźniki, listy'!$D$48,IF(N5="drewno",Q5*'Założenia,wskaźniki, listy'!$E$48,IF(N5="pelet",Q5*'Założenia,wskaźniki, listy'!$G$48,IF(N5="olej opałowy",Q5*'Założenia,wskaźniki, listy'!$G$48,IF(N5="sieć ciepłownicza",0,IF(N5="prąd",0,0)))))))</f>
        <v>0</v>
      </c>
      <c r="AF5" s="639">
        <f>IF(N5="węgiel",Q5*'Założenia,wskaźniki, listy'!$C$49,IF(N5="gaz",Q5*'Założenia,wskaźniki, listy'!$D$49,IF(N5="drewno",Q5*'Założenia,wskaźniki, listy'!$E$49,IF(N5="pelet",Q5*'Założenia,wskaźniki, listy'!$G$49,IF(N5="olej opałowy",Q5*'Założenia,wskaźniki, listy'!$G$49,IF(N5="sieć ciepłownicza",0,IF(N5="prąd",0,0)))))))</f>
        <v>0</v>
      </c>
      <c r="AG5" s="639">
        <f>IF(N5="węgiel",Q5*'Założenia,wskaźniki, listy'!$C$50,IF(N5="gaz",Q5*'Założenia,wskaźniki, listy'!$D$50,IF(N5="drewno",Q5*'Założenia,wskaźniki, listy'!$E$50,IF(N5="pelet",Q5*'Założenia,wskaźniki, listy'!$G$50,IF(N5="olej opałowy",Q5*'Założenia,wskaźniki, listy'!$G$50,IF(N5="sieć ciepłownicza",0,IF(N5="prąd",0,0)))))))</f>
        <v>0</v>
      </c>
      <c r="AH5" s="640">
        <f>IF(L5="węgiel",(P5+R5)/2*'Założenia,wskaźniki, listy'!$C$4,IF(L5="gaz",(P5+R5)/2*'Założenia,wskaźniki, listy'!$C$5,IF(L5="drewno",(P5+R5)/2*'Założenia,wskaźniki, listy'!$C$6,IF(L5="pelet",(P5+R5)/2*'Założenia,wskaźniki, listy'!$C$7,IF(L5="olej opałowy",(P5+R5)/2*'Założenia,wskaźniki, listy'!$C$8,IF(L5="sieć ciepłownicza",(P5+R5)/2*'Założenia,wskaźniki, listy'!$C$9,IF(L5="sieć ciepłownicza",(P5+R5)/2*'Założenia,wskaźniki, listy'!$C$10,)))))))</f>
        <v>2339.5419999999999</v>
      </c>
      <c r="AI5" s="640">
        <f>IF(N5="węgiel",Q5*'Założenia,wskaźniki, listy'!$C$4,IF(N5="gaz",Q5*'Założenia,wskaźniki, listy'!$C$5,IF(N5="drewno",Q5*'Założenia,wskaźniki, listy'!$C$6,IF(N5="pelet",Q5*'Założenia,wskaźniki, listy'!$C$7,IF(N5="olej opałowy",Q5*'Założenia,wskaźniki, listy'!$C$8,IF(N5="sieć ciepłownicza",Q5*'Założenia,wskaźniki, listy'!$C$9,IF(N5="sieć ciepłownicza",Q5*'Założenia,wskaźniki, listy'!$C$10,0)))))))</f>
        <v>0</v>
      </c>
      <c r="AJ5" s="640">
        <f>S5*'Założenia,wskaźniki, listy'!$B$64*1000</f>
        <v>1201.32</v>
      </c>
      <c r="AK5" s="640">
        <f>(H5+I5)*'Założenia,wskaźniki, listy'!$D$64*12</f>
        <v>0</v>
      </c>
      <c r="AL5" s="640">
        <f>AK5*'Założenia,wskaźniki, listy'!$F$64</f>
        <v>0</v>
      </c>
      <c r="AM5" s="641">
        <f t="shared" ref="AM5:AM35" si="24">T5+AA5</f>
        <v>1.01745E-2</v>
      </c>
      <c r="AN5" s="641">
        <f t="shared" ref="AN5:AN35" si="25">U5+AB5</f>
        <v>9.0892200000000003E-3</v>
      </c>
      <c r="AO5" s="641">
        <f>V5+AC5+S5*'Założenia,wskaźniki, listy'!$J$46</f>
        <v>5.6458207999999992</v>
      </c>
      <c r="AP5" s="641">
        <f t="shared" ref="AP5:AP35" si="26">W5+AD5</f>
        <v>1.22094E-5</v>
      </c>
      <c r="AQ5" s="641">
        <f t="shared" ref="AQ5:AQ35" si="27">X5+AE5</f>
        <v>4.0697999999999998E-2</v>
      </c>
      <c r="AR5" s="641">
        <f t="shared" ref="AR5:AR35" si="28">Y5+AF5</f>
        <v>7.1447599999999991E-3</v>
      </c>
      <c r="AS5" s="641">
        <f t="shared" ref="AS5:AS35" si="29">Z5+AG5</f>
        <v>9.0965578900312913E-2</v>
      </c>
      <c r="AT5" s="642"/>
      <c r="AU5" s="642"/>
      <c r="AV5" s="624">
        <f t="shared" si="1"/>
        <v>110</v>
      </c>
      <c r="AW5" s="624">
        <f t="shared" si="2"/>
        <v>110</v>
      </c>
      <c r="AX5" s="624" t="b">
        <f t="shared" si="3"/>
        <v>0</v>
      </c>
      <c r="AY5" s="624" t="b">
        <f t="shared" si="4"/>
        <v>0</v>
      </c>
      <c r="AZ5" s="624" t="b">
        <f t="shared" si="5"/>
        <v>0</v>
      </c>
      <c r="BA5" s="624" t="b">
        <f t="shared" si="6"/>
        <v>0</v>
      </c>
      <c r="BB5" s="624" t="b">
        <f t="shared" si="7"/>
        <v>0</v>
      </c>
      <c r="BC5" s="624" t="b">
        <f t="shared" si="8"/>
        <v>0</v>
      </c>
      <c r="BD5" s="624" t="b">
        <f t="shared" si="9"/>
        <v>0</v>
      </c>
      <c r="BE5" s="624" t="b">
        <f t="shared" si="10"/>
        <v>0</v>
      </c>
      <c r="BF5" s="624">
        <f t="shared" si="11"/>
        <v>45.22</v>
      </c>
      <c r="BG5" s="624" t="b">
        <f t="shared" si="12"/>
        <v>0</v>
      </c>
      <c r="BH5" s="624" t="b">
        <f t="shared" si="13"/>
        <v>0</v>
      </c>
      <c r="BI5" s="624" t="b">
        <f t="shared" si="14"/>
        <v>0</v>
      </c>
      <c r="BJ5" s="624" t="b">
        <f t="shared" si="15"/>
        <v>0</v>
      </c>
      <c r="BK5" s="624" t="b">
        <f t="shared" si="16"/>
        <v>0</v>
      </c>
      <c r="BL5" s="624" t="b">
        <f t="shared" si="17"/>
        <v>0</v>
      </c>
      <c r="BM5" s="624" t="b">
        <f t="shared" si="18"/>
        <v>0</v>
      </c>
      <c r="BN5" s="624" t="b">
        <f t="shared" si="19"/>
        <v>0</v>
      </c>
      <c r="BO5" s="624" t="b">
        <f t="shared" si="20"/>
        <v>0</v>
      </c>
      <c r="BP5" s="624" t="b">
        <f t="shared" si="21"/>
        <v>0</v>
      </c>
      <c r="BQ5" s="624" t="b">
        <f t="shared" si="22"/>
        <v>0</v>
      </c>
      <c r="BR5" s="624"/>
    </row>
    <row r="6" spans="1:71">
      <c r="A6" s="1086"/>
      <c r="B6" s="644"/>
      <c r="C6" s="644"/>
      <c r="D6" s="645"/>
      <c r="E6" s="645"/>
      <c r="F6" s="644"/>
      <c r="G6" s="644"/>
      <c r="H6" s="644"/>
      <c r="I6" s="635"/>
      <c r="J6" s="644">
        <f>IF(F6&lt;=1966,'Założenia,wskaźniki, listy'!$H$4,IF(F6&gt;1966,IF(F6&lt;=1985,'Założenia,wskaźniki, listy'!$H$5,IF(F6&gt;1985,IF(F6&lt;=1992,'Założenia,wskaźniki, listy'!$H$6,IF(F6&gt;1992,IF(F6&lt;=1996,'Założenia,wskaźniki, listy'!$H$7,IF(F6&gt;1996,IF(F6&lt;=2013,'Założenia,wskaźniki, listy'!$H$8)))))))))</f>
        <v>290</v>
      </c>
      <c r="K6" s="864"/>
      <c r="L6" s="644" t="s">
        <v>79</v>
      </c>
      <c r="M6" s="644">
        <v>1</v>
      </c>
      <c r="N6" s="644"/>
      <c r="O6" s="637">
        <f t="shared" si="23"/>
        <v>15</v>
      </c>
      <c r="P6" s="646">
        <f>IF(K6="kompletna",J6*G6*0.0036*'Założenia,wskaźniki, listy'!$P$9,IF(K6="częściowa",J6*G6*0.0036*'Założenia,wskaźniki, listy'!$P$10,IF(K6="brak",J6*G6*0.0036*'Założenia,wskaźniki, listy'!$P$11,0)))</f>
        <v>0</v>
      </c>
      <c r="Q6" s="638">
        <f>H6*'Założenia,wskaźniki, listy'!$L$15</f>
        <v>0</v>
      </c>
      <c r="R6" s="635">
        <f>IF(L6="węgiel",'Mieszkalne - baza'!M6*'Założenia,wskaźniki, listy'!$B$4,IF(L6="gaz",'Mieszkalne - baza'!M6*'Założenia,wskaźniki, listy'!$B$5,IF(L6="drewno",'Mieszkalne - baza'!M6*'Założenia,wskaźniki, listy'!$B$6,IF(L6="pelet",'Mieszkalne - baza'!M6*'Założenia,wskaźniki, listy'!$B$7,IF(L6="olej opałowy",'Mieszkalne - baza'!M6*'Założenia,wskaźniki, listy'!$B$8,IF(L6="sieć ciepłownicza",0,0))))))</f>
        <v>15</v>
      </c>
      <c r="S6" s="1085"/>
      <c r="T6" s="639">
        <f>IF(L6="węgiel",R6*'Założenia,wskaźniki, listy'!$C$44,IF(L6="gaz",R6*'Założenia,wskaźniki, listy'!$D$44,IF(L6="drewno",R6*'Założenia,wskaźniki, listy'!$E$44,IF(L6="pelet",R6*'Założenia,wskaźniki, listy'!$F$44,IF(L6="olej opałowy",R6*'Założenia,wskaźniki, listy'!$G$44,IF(L6="sieć ciepłownicza",0,IF(L6="prąd",0,0)))))))</f>
        <v>7.1999999999999998E-3</v>
      </c>
      <c r="U6" s="639">
        <f>IF(L6="węgiel",R6*'Założenia,wskaźniki, listy'!$C$45,IF(L6="gaz",R6*'Założenia,wskaźniki, listy'!$D$45,IF(L6="drewno",R6*'Założenia,wskaźniki, listy'!$E$45,IF(L6="pelet",R6*'Założenia,wskaźniki, listy'!$F$45,IF(L6="olej opałowy",R6*'Założenia,wskaźniki, listy'!$G$45,IF(L6="sieć ciepłownicza",0,IF(L6="prąd",0,0)))))))</f>
        <v>7.0499999999999998E-3</v>
      </c>
      <c r="V6" s="639">
        <f>IF(L6="węgiel",R6*'Założenia,wskaźniki, listy'!$C$46,IF(L6="gaz",R6*'Założenia,wskaźniki, listy'!$D$46,IF(L6="drewno",R6*'Założenia,wskaźniki, listy'!$E$46,IF(L6="pelet",R6*'Założenia,wskaźniki, listy'!$F$46,IF(L6="olej opałowy",R6*'Założenia,wskaźniki, listy'!$G$46,IF(L6="sieć ciepłownicza",R6*'Założenia,wskaźniki, listy'!$H$46,IF(L6="prąd",R6*'Założenia,wskaźniki, listy'!$I$46,0)))))))</f>
        <v>0</v>
      </c>
      <c r="W6" s="639">
        <f>IF(L6="węgiel",R6*'Założenia,wskaźniki, listy'!$C$47,IF(L6="gaz",R6*'Założenia,wskaźniki, listy'!$D$47,IF(L6="drewno",R6*'Założenia,wskaźniki, listy'!$E$47,IF(L6="pelet",R6*'Założenia,wskaźniki, listy'!$F$47,IF(L6="olej opałowy",R6*'Założenia,wskaźniki, listy'!$G$47,IF(L6="sieć ciepłownicza",0,IF(L6="prąd",0,0)))))))</f>
        <v>1.8150000000000002E-6</v>
      </c>
      <c r="X6" s="639">
        <f>IF(L6="węgiel",R6*'Założenia,wskaźniki, listy'!$C$48, IF(L6="gaz",R6*'Założenia,wskaźniki, listy'!$D$48,IF(L6="drewno",R6*'Założenia,wskaźniki, listy'!$E$48,IF(L6="pelet",R6*'Założenia,wskaźniki, listy'!$F$48,IF(L6="olej opałowy",R6*'Założenia,wskaźniki, listy'!$G$48,IF(L6="sieć ciepłownicza",0,IF(L6="prąd",0,0)))))))</f>
        <v>1.65E-4</v>
      </c>
      <c r="Y6" s="639">
        <f>IF(L6="węgiel",R6*'Założenia,wskaźniki, listy'!$C$49, IF(L6="gaz",R6*'Założenia,wskaźniki, listy'!$D$49, IF(L6="drewno",R6*'Założenia,wskaźniki, listy'!$E$49,IF(L6="pelet",R6*'Założenia,wskaźniki, listy'!$F$49,IF(L6="olej opałowy",R6*'Założenia,wskaźniki, listy'!$G$49,IF(L6="sieć ciepłownicza",0,IF(L6="prąd",0,0)))))))</f>
        <v>1.2000000000000001E-3</v>
      </c>
      <c r="Z6" s="639">
        <f>IF(L6="węgiel",R6*'Założenia,wskaźniki, listy'!$C$50,IF(L6="gaz",R6*'Założenia,wskaźniki, listy'!$D$50, IF(L6="drewno",R6*'Założenia,wskaźniki, listy'!$E$50,IF(L6="pelet",R6*'Założenia,wskaźniki, listy'!$F$50,IF(L6="pelet",R6*'Założenia,wskaźniki, listy'!$F$50,IF(L6="olej opałowy",R6*'Założenia,wskaźniki, listy'!$G$50,IF(L6="sieć ciepłownicza",0,IF(L6="prąd",0,0))))))))</f>
        <v>2.6909999999999998E-3</v>
      </c>
      <c r="AA6" s="639">
        <f>IF(N6="węgiel",Q6*'Założenia,wskaźniki, listy'!$C$44,IF(N6="gaz",Q6*'Założenia,wskaźniki, listy'!$D$44,IF(N6="drewno",Q6*'Założenia,wskaźniki, listy'!$E$44,IF(N6="pelet",Q6*'Założenia,wskaźniki, listy'!$G$44,IF(N6="olej opałowy",Q6*'Założenia,wskaźniki, listy'!$G$44,IF(N6="sieć ciepłownicza",0,IF(N6="prąd",0,0)))))))</f>
        <v>0</v>
      </c>
      <c r="AB6" s="639">
        <f>IF(N6="węgiel",Q6*'Założenia,wskaźniki, listy'!$C$45,IF(N6="gaz",Q6*'Założenia,wskaźniki, listy'!$D$45,IF(N6="drewno",Q6*'Założenia,wskaźniki, listy'!$E$45,IF(N6="pelet",Q6*'Założenia,wskaźniki, listy'!$G$45,IF(N6="olej opałowy",Q6*'Założenia,wskaźniki, listy'!$G$45,IF(N6="sieć ciepłownicza",0,IF(N6="prąd",0,0)))))))</f>
        <v>0</v>
      </c>
      <c r="AC6" s="639">
        <f>IF(N6="węgiel",Q6*'Założenia,wskaźniki, listy'!$C$46,IF(N6="gaz",Q6*'Założenia,wskaźniki, listy'!$D$46,IF(N6="drewno",Q6*'Założenia,wskaźniki, listy'!$E$46,IF(N6="pelet",Q6*'Założenia,wskaźniki, listy'!$G$46,IF(N6="olej opałowy",Q6*'Założenia,wskaźniki, listy'!$G$46,IF(N6="sieć ciepłownicza",0,IF(N6="prąd",0,0)))))))</f>
        <v>0</v>
      </c>
      <c r="AD6" s="639">
        <f>IF(N6="węgiel",Q6*'Założenia,wskaźniki, listy'!$C$47,IF(N6="gaz",Q6*'Założenia,wskaźniki, listy'!$D$47,IF(N6="drewno",Q6*'Założenia,wskaźniki, listy'!$E$47,IF(N6="pelet",Q6*'Założenia,wskaźniki, listy'!$G$47,IF(N6="olej opałowy",Q6*'Założenia,wskaźniki, listy'!$G$47,IF(N6="sieć ciepłownicza",0,IF(N6="prąd",0,0)))))))</f>
        <v>0</v>
      </c>
      <c r="AE6" s="639">
        <f>IF(N6="węgiel",Q6*'Założenia,wskaźniki, listy'!$C$48,IF(N6="gaz",Q6*'Założenia,wskaźniki, listy'!$D$48,IF(N6="drewno",Q6*'Założenia,wskaźniki, listy'!$E$48,IF(N6="pelet",Q6*'Założenia,wskaźniki, listy'!$G$48,IF(N6="olej opałowy",Q6*'Założenia,wskaźniki, listy'!$G$48,IF(N6="sieć ciepłownicza",0,IF(N6="prąd",0,0)))))))</f>
        <v>0</v>
      </c>
      <c r="AF6" s="639">
        <f>IF(N6="węgiel",Q6*'Założenia,wskaźniki, listy'!$C$49,IF(N6="gaz",Q6*'Założenia,wskaźniki, listy'!$D$49,IF(N6="drewno",Q6*'Założenia,wskaźniki, listy'!$E$49,IF(N6="pelet",Q6*'Założenia,wskaźniki, listy'!$G$49,IF(N6="olej opałowy",Q6*'Założenia,wskaźniki, listy'!$G$49,IF(N6="sieć ciepłownicza",0,IF(N6="prąd",0,0)))))))</f>
        <v>0</v>
      </c>
      <c r="AG6" s="639">
        <f>IF(N6="węgiel",Q6*'Założenia,wskaźniki, listy'!$C$50,IF(N6="gaz",Q6*'Założenia,wskaźniki, listy'!$D$50,IF(N6="drewno",Q6*'Założenia,wskaźniki, listy'!$E$50,IF(N6="pelet",Q6*'Założenia,wskaźniki, listy'!$G$50,IF(N6="olej opałowy",Q6*'Założenia,wskaźniki, listy'!$G$50,IF(N6="sieć ciepłownicza",0,IF(N6="prąd",0,0)))))))</f>
        <v>0</v>
      </c>
      <c r="AH6" s="640">
        <f>IF(L6="węgiel",(P6+R6)/2*'Założenia,wskaźniki, listy'!$C$4,IF(L6="gaz",(P6+R6)/2*'Założenia,wskaźniki, listy'!$C$5,IF(L6="drewno",(P6+R6)/2*'Założenia,wskaźniki, listy'!$C$6,IF(L6="pelet",(P6+R6)/2*'Założenia,wskaźniki, listy'!$C$7,IF(L6="olej opałowy",(P6+R6)/2*'Założenia,wskaźniki, listy'!$C$8,IF(L6="sieć ciepłownicza",(P6+R6)/2*'Założenia,wskaźniki, listy'!$C$9,IF(L6="sieć ciepłownicza",(P6+R6)/2*'Założenia,wskaźniki, listy'!$C$10,)))))))</f>
        <v>285</v>
      </c>
      <c r="AI6" s="640">
        <f>IF(N6="węgiel",Q6*'Założenia,wskaźniki, listy'!$C$4,IF(N6="gaz",Q6*'Założenia,wskaźniki, listy'!$C$5,IF(N6="drewno",Q6*'Założenia,wskaźniki, listy'!$C$6,IF(N6="pelet",Q6*'Założenia,wskaźniki, listy'!$C$7,IF(N6="olej opałowy",Q6*'Założenia,wskaźniki, listy'!$C$8,IF(N6="sieć ciepłownicza",Q6*'Założenia,wskaźniki, listy'!$C$9,IF(N6="sieć ciepłownicza",Q6*'Założenia,wskaźniki, listy'!$C$10,0)))))))</f>
        <v>0</v>
      </c>
      <c r="AJ6" s="640">
        <f>S6*'Założenia,wskaźniki, listy'!$B$64*1000</f>
        <v>0</v>
      </c>
      <c r="AK6" s="640">
        <f>(H6+I6)*'Założenia,wskaźniki, listy'!$D$64*12</f>
        <v>0</v>
      </c>
      <c r="AL6" s="640">
        <f>AK6*'Założenia,wskaźniki, listy'!$F$64</f>
        <v>0</v>
      </c>
      <c r="AM6" s="639">
        <f t="shared" si="24"/>
        <v>7.1999999999999998E-3</v>
      </c>
      <c r="AN6" s="639">
        <f t="shared" si="25"/>
        <v>7.0499999999999998E-3</v>
      </c>
      <c r="AO6" s="639">
        <f>V6+AC6+S6*'Założenia,wskaźniki, listy'!$J$46</f>
        <v>0</v>
      </c>
      <c r="AP6" s="639">
        <f t="shared" si="26"/>
        <v>1.8150000000000002E-6</v>
      </c>
      <c r="AQ6" s="639">
        <f t="shared" si="27"/>
        <v>1.65E-4</v>
      </c>
      <c r="AR6" s="639">
        <f t="shared" si="28"/>
        <v>1.2000000000000001E-3</v>
      </c>
      <c r="AS6" s="639">
        <f t="shared" si="29"/>
        <v>2.6909999999999998E-3</v>
      </c>
      <c r="AT6" s="647"/>
      <c r="AU6" s="647"/>
      <c r="AV6" s="624">
        <f t="shared" si="1"/>
        <v>0</v>
      </c>
      <c r="AW6" s="624" t="b">
        <f t="shared" si="2"/>
        <v>0</v>
      </c>
      <c r="AX6" s="624" t="b">
        <f t="shared" si="3"/>
        <v>0</v>
      </c>
      <c r="AY6" s="624" t="b">
        <f t="shared" si="4"/>
        <v>0</v>
      </c>
      <c r="AZ6" s="624" t="b">
        <f t="shared" si="5"/>
        <v>0</v>
      </c>
      <c r="BA6" s="624" t="b">
        <f t="shared" si="6"/>
        <v>0</v>
      </c>
      <c r="BB6" s="624" t="b">
        <f t="shared" si="7"/>
        <v>0</v>
      </c>
      <c r="BC6" s="624" t="b">
        <f t="shared" si="8"/>
        <v>0</v>
      </c>
      <c r="BD6" s="624" t="b">
        <f t="shared" si="9"/>
        <v>0</v>
      </c>
      <c r="BE6" s="624" t="b">
        <f t="shared" si="10"/>
        <v>0</v>
      </c>
      <c r="BF6" s="624" t="b">
        <f t="shared" si="11"/>
        <v>0</v>
      </c>
      <c r="BG6" s="624" t="b">
        <f t="shared" si="12"/>
        <v>0</v>
      </c>
      <c r="BH6" s="624">
        <f t="shared" si="13"/>
        <v>15</v>
      </c>
      <c r="BI6" s="624" t="b">
        <f t="shared" si="14"/>
        <v>0</v>
      </c>
      <c r="BJ6" s="624" t="b">
        <f t="shared" si="15"/>
        <v>0</v>
      </c>
      <c r="BK6" s="624" t="b">
        <f t="shared" si="16"/>
        <v>0</v>
      </c>
      <c r="BL6" s="624" t="b">
        <f t="shared" si="17"/>
        <v>0</v>
      </c>
      <c r="BM6" s="624" t="b">
        <f t="shared" si="18"/>
        <v>0</v>
      </c>
      <c r="BN6" s="624" t="b">
        <f t="shared" si="19"/>
        <v>0</v>
      </c>
      <c r="BO6" s="624" t="b">
        <f t="shared" si="20"/>
        <v>0</v>
      </c>
      <c r="BP6" s="624" t="b">
        <f t="shared" si="21"/>
        <v>0</v>
      </c>
      <c r="BQ6" s="624" t="b">
        <f t="shared" si="22"/>
        <v>0</v>
      </c>
    </row>
    <row r="7" spans="1:71">
      <c r="A7" s="1086">
        <v>2</v>
      </c>
      <c r="B7" s="873" t="s">
        <v>21</v>
      </c>
      <c r="C7" s="873" t="s">
        <v>621</v>
      </c>
      <c r="D7" s="636" t="s">
        <v>622</v>
      </c>
      <c r="E7" s="645">
        <v>13</v>
      </c>
      <c r="F7" s="644">
        <v>1950</v>
      </c>
      <c r="G7" s="644">
        <v>90</v>
      </c>
      <c r="H7" s="644"/>
      <c r="I7" s="635"/>
      <c r="J7" s="644">
        <f>IF(F7&lt;=1966,'Założenia,wskaźniki, listy'!$H$4,IF(F7&gt;1966,IF(F7&lt;=1985,'Założenia,wskaźniki, listy'!$H$5,IF(F7&gt;1985,IF(F7&lt;=1992,'Założenia,wskaźniki, listy'!$H$6,IF(F7&gt;1992,IF(F7&lt;=1996,'Założenia,wskaźniki, listy'!$H$7,IF(F7&gt;1996,IF(F7&lt;=2013,'Założenia,wskaźniki, listy'!$H$8)))))))))</f>
        <v>290</v>
      </c>
      <c r="K7" s="864" t="s">
        <v>33</v>
      </c>
      <c r="L7" s="644" t="s">
        <v>8</v>
      </c>
      <c r="M7" s="644">
        <v>2</v>
      </c>
      <c r="N7" s="644"/>
      <c r="O7" s="637">
        <f t="shared" si="23"/>
        <v>60.193999999999996</v>
      </c>
      <c r="P7" s="646">
        <f>IF(K7="kompletna",J7*G7*0.0036*'Założenia,wskaźniki, listy'!$P$9,IF(K7="częściowa",J7*G7*0.0036*'Założenia,wskaźniki, listy'!$P$10,IF(K7="brak",J7*G7*0.0036*'Założenia,wskaźniki, listy'!$P$11,0)))</f>
        <v>75.167999999999992</v>
      </c>
      <c r="Q7" s="638">
        <f>H7*'Założenia,wskaźniki, listy'!$L$15</f>
        <v>0</v>
      </c>
      <c r="R7" s="635">
        <f>IF(L7="węgiel",'Mieszkalne - baza'!M7*'Założenia,wskaźniki, listy'!$B$4,IF(L7="gaz",'Mieszkalne - baza'!M7*'Założenia,wskaźniki, listy'!$B$5,IF(L7="drewno",'Mieszkalne - baza'!M7*'Założenia,wskaźniki, listy'!$B$6,IF(L7="pelet",'Mieszkalne - baza'!M7*'Założenia,wskaźniki, listy'!$B$7,IF(L7="olej opałowy",'Mieszkalne - baza'!M7*'Założenia,wskaźniki, listy'!$B$8,IF(L7="sieć ciepłownicza",0,0))))))</f>
        <v>45.22</v>
      </c>
      <c r="S7" s="1084">
        <v>1.8048000000000002</v>
      </c>
      <c r="T7" s="639">
        <f>IF(L7="węgiel",R7*'Założenia,wskaźniki, listy'!$C$44,IF(L7="gaz",R7*'Założenia,wskaźniki, listy'!$D$44,IF(L7="drewno",R7*'Założenia,wskaźniki, listy'!$E$44,IF(L7="pelet",R7*'Założenia,wskaźniki, listy'!$F$44,IF(L7="olej opałowy",R7*'Założenia,wskaźniki, listy'!$G$44,IF(L7="sieć ciepłownicza",0,IF(L7="prąd",0,0)))))))</f>
        <v>1.01745E-2</v>
      </c>
      <c r="U7" s="639">
        <f>IF(L7="węgiel",R7*'Założenia,wskaźniki, listy'!$C$45,IF(L7="gaz",R7*'Założenia,wskaźniki, listy'!$D$45,IF(L7="drewno",R7*'Założenia,wskaźniki, listy'!$E$45,IF(L7="pelet",R7*'Założenia,wskaźniki, listy'!$F$45,IF(L7="olej opałowy",R7*'Założenia,wskaźniki, listy'!$G$45,IF(L7="sieć ciepłownicza",0,IF(L7="prąd",0,0)))))))</f>
        <v>9.0892200000000003E-3</v>
      </c>
      <c r="V7" s="639">
        <f>IF(L7="węgiel",R7*'Założenia,wskaźniki, listy'!$C$46,IF(L7="gaz",R7*'Założenia,wskaźniki, listy'!$D$46,IF(L7="drewno",R7*'Założenia,wskaźniki, listy'!$E$46,IF(L7="pelet",R7*'Założenia,wskaźniki, listy'!$F$46,IF(L7="olej opałowy",R7*'Założenia,wskaźniki, listy'!$G$46,IF(L7="sieć ciepłownicza",R7*'Założenia,wskaźniki, listy'!$H$46,IF(L7="prąd",R7*'Założenia,wskaźniki, listy'!$I$46,0)))))))</f>
        <v>4.2389227999999992</v>
      </c>
      <c r="W7" s="639">
        <f>IF(L7="węgiel",R7*'Założenia,wskaźniki, listy'!$C$47,IF(L7="gaz",R7*'Założenia,wskaźniki, listy'!$D$47,IF(L7="drewno",R7*'Założenia,wskaźniki, listy'!$E$47,IF(L7="pelet",R7*'Założenia,wskaźniki, listy'!$F$47,IF(L7="olej opałowy",R7*'Założenia,wskaźniki, listy'!$G$47,IF(L7="sieć ciepłownicza",0,IF(L7="prąd",0,0)))))))</f>
        <v>1.22094E-5</v>
      </c>
      <c r="X7" s="639">
        <f>IF(L7="węgiel",R7*'Założenia,wskaźniki, listy'!$C$48, IF(L7="gaz",R7*'Założenia,wskaźniki, listy'!$D$48,IF(L7="drewno",R7*'Założenia,wskaźniki, listy'!$E$48,IF(L7="pelet",R7*'Założenia,wskaźniki, listy'!$F$48,IF(L7="olej opałowy",R7*'Założenia,wskaźniki, listy'!$G$48,IF(L7="sieć ciepłownicza",0,IF(L7="prąd",0,0)))))))</f>
        <v>4.0697999999999998E-2</v>
      </c>
      <c r="Y7" s="639">
        <f>IF(L7="węgiel",R7*'Założenia,wskaźniki, listy'!$C$49, IF(L7="gaz",R7*'Założenia,wskaźniki, listy'!$D$49, IF(L7="drewno",R7*'Założenia,wskaźniki, listy'!$E$49,IF(L7="pelet",R7*'Założenia,wskaźniki, listy'!$F$49,IF(L7="olej opałowy",R7*'Założenia,wskaźniki, listy'!$G$49,IF(L7="sieć ciepłownicza",0,IF(L7="prąd",0,0)))))))</f>
        <v>7.1447599999999991E-3</v>
      </c>
      <c r="Z7" s="639">
        <f>IF(L7="węgiel",R7*'Założenia,wskaźniki, listy'!$C$50,IF(L7="gaz",R7*'Założenia,wskaźniki, listy'!$D$50, IF(L7="drewno",R7*'Założenia,wskaźniki, listy'!$E$50,IF(L7="pelet",R7*'Założenia,wskaźniki, listy'!$F$50,IF(L7="pelet",R7*'Założenia,wskaźniki, listy'!$F$50,IF(L7="olej opałowy",R7*'Założenia,wskaźniki, listy'!$G$50,IF(L7="sieć ciepłownicza",0,IF(L7="prąd",0,0))))))))</f>
        <v>9.0965578900312913E-2</v>
      </c>
      <c r="AA7" s="639">
        <f>IF(N7="węgiel",Q7*'Założenia,wskaźniki, listy'!$C$44,IF(N7="gaz",Q7*'Założenia,wskaźniki, listy'!$D$44,IF(N7="drewno",Q7*'Założenia,wskaźniki, listy'!$E$44,IF(N7="pelet",Q7*'Założenia,wskaźniki, listy'!$G$44,IF(N7="olej opałowy",Q7*'Założenia,wskaźniki, listy'!$G$44,IF(N7="sieć ciepłownicza",0,IF(N7="prąd",0,0)))))))</f>
        <v>0</v>
      </c>
      <c r="AB7" s="639">
        <f>IF(N7="węgiel",Q7*'Założenia,wskaźniki, listy'!$C$45,IF(N7="gaz",Q7*'Założenia,wskaźniki, listy'!$D$45,IF(N7="drewno",Q7*'Założenia,wskaźniki, listy'!$E$45,IF(N7="pelet",Q7*'Założenia,wskaźniki, listy'!$G$45,IF(N7="olej opałowy",Q7*'Założenia,wskaźniki, listy'!$G$45,IF(N7="sieć ciepłownicza",0,IF(N7="prąd",0,0)))))))</f>
        <v>0</v>
      </c>
      <c r="AC7" s="639">
        <f>IF(N7="węgiel",Q7*'Założenia,wskaźniki, listy'!$C$46,IF(N7="gaz",Q7*'Założenia,wskaźniki, listy'!$D$46,IF(N7="drewno",Q7*'Założenia,wskaźniki, listy'!$E$46,IF(N7="pelet",Q7*'Założenia,wskaźniki, listy'!$G$46,IF(N7="olej opałowy",Q7*'Założenia,wskaźniki, listy'!$G$46,IF(N7="sieć ciepłownicza",0,IF(N7="prąd",0,0)))))))</f>
        <v>0</v>
      </c>
      <c r="AD7" s="639">
        <f>IF(N7="węgiel",Q7*'Założenia,wskaźniki, listy'!$C$47,IF(N7="gaz",Q7*'Założenia,wskaźniki, listy'!$D$47,IF(N7="drewno",Q7*'Założenia,wskaźniki, listy'!$E$47,IF(N7="pelet",Q7*'Założenia,wskaźniki, listy'!$G$47,IF(N7="olej opałowy",Q7*'Założenia,wskaźniki, listy'!$G$47,IF(N7="sieć ciepłownicza",0,IF(N7="prąd",0,0)))))))</f>
        <v>0</v>
      </c>
      <c r="AE7" s="639">
        <f>IF(N7="węgiel",Q7*'Założenia,wskaźniki, listy'!$C$48,IF(N7="gaz",Q7*'Założenia,wskaźniki, listy'!$D$48,IF(N7="drewno",Q7*'Założenia,wskaźniki, listy'!$E$48,IF(N7="pelet",Q7*'Założenia,wskaźniki, listy'!$G$48,IF(N7="olej opałowy",Q7*'Założenia,wskaźniki, listy'!$G$48,IF(N7="sieć ciepłownicza",0,IF(N7="prąd",0,0)))))))</f>
        <v>0</v>
      </c>
      <c r="AF7" s="639">
        <f>IF(N7="węgiel",Q7*'Założenia,wskaźniki, listy'!$C$49,IF(N7="gaz",Q7*'Założenia,wskaźniki, listy'!$D$49,IF(N7="drewno",Q7*'Założenia,wskaźniki, listy'!$E$49,IF(N7="pelet",Q7*'Założenia,wskaźniki, listy'!$G$49,IF(N7="olej opałowy",Q7*'Założenia,wskaźniki, listy'!$G$49,IF(N7="sieć ciepłownicza",0,IF(N7="prąd",0,0)))))))</f>
        <v>0</v>
      </c>
      <c r="AG7" s="639">
        <f>IF(N7="węgiel",Q7*'Założenia,wskaźniki, listy'!$C$50,IF(N7="gaz",Q7*'Założenia,wskaźniki, listy'!$D$50,IF(N7="drewno",Q7*'Założenia,wskaźniki, listy'!$E$50,IF(N7="pelet",Q7*'Założenia,wskaźniki, listy'!$G$50,IF(N7="olej opałowy",Q7*'Założenia,wskaźniki, listy'!$G$50,IF(N7="sieć ciepłownicza",0,IF(N7="prąd",0,0)))))))</f>
        <v>0</v>
      </c>
      <c r="AH7" s="640">
        <f>IF(L7="węgiel",(P7+R7)/2*'Założenia,wskaźniki, listy'!$C$4,IF(L7="gaz",(P7+R7)/2*'Założenia,wskaźniki, listy'!$C$5,IF(L7="drewno",(P7+R7)/2*'Założenia,wskaźniki, listy'!$C$6,IF(L7="pelet",(P7+R7)/2*'Założenia,wskaźniki, listy'!$C$7,IF(L7="olej opałowy",(P7+R7)/2*'Założenia,wskaźniki, listy'!$C$8,IF(L7="sieć ciepłownicza",(P7+R7)/2*'Założenia,wskaźniki, listy'!$C$9,IF(L7="sieć ciepłownicza",(P7+R7)/2*'Założenia,wskaźniki, listy'!$C$10,)))))))</f>
        <v>2467.9539999999997</v>
      </c>
      <c r="AI7" s="640">
        <f>IF(N7="węgiel",Q7*'Założenia,wskaźniki, listy'!$C$4,IF(N7="gaz",Q7*'Założenia,wskaźniki, listy'!$C$5,IF(N7="drewno",Q7*'Założenia,wskaźniki, listy'!$C$6,IF(N7="pelet",Q7*'Założenia,wskaźniki, listy'!$C$7,IF(N7="olej opałowy",Q7*'Założenia,wskaźniki, listy'!$C$8,IF(N7="sieć ciepłownicza",Q7*'Założenia,wskaźniki, listy'!$C$9,IF(N7="sieć ciepłownicza",Q7*'Założenia,wskaźniki, listy'!$C$10,0)))))))</f>
        <v>0</v>
      </c>
      <c r="AJ7" s="640">
        <f>S7*'Założenia,wskaźniki, listy'!$B$64*1000</f>
        <v>1281.4080000000001</v>
      </c>
      <c r="AK7" s="640">
        <f>(H7+I7)*'Założenia,wskaźniki, listy'!$D$64*12</f>
        <v>0</v>
      </c>
      <c r="AL7" s="640">
        <f>AK7*'Założenia,wskaźniki, listy'!$F$64</f>
        <v>0</v>
      </c>
      <c r="AM7" s="639">
        <f t="shared" si="24"/>
        <v>1.01745E-2</v>
      </c>
      <c r="AN7" s="639">
        <f t="shared" si="25"/>
        <v>9.0892200000000003E-3</v>
      </c>
      <c r="AO7" s="639">
        <f>V7+AC7+S7*'Założenia,wskaźniki, listy'!$J$46</f>
        <v>5.7396139999999995</v>
      </c>
      <c r="AP7" s="639">
        <f t="shared" si="26"/>
        <v>1.22094E-5</v>
      </c>
      <c r="AQ7" s="639">
        <f t="shared" si="27"/>
        <v>4.0697999999999998E-2</v>
      </c>
      <c r="AR7" s="639">
        <f t="shared" si="28"/>
        <v>7.1447599999999991E-3</v>
      </c>
      <c r="AS7" s="639">
        <f t="shared" si="29"/>
        <v>9.0965578900312913E-2</v>
      </c>
      <c r="AT7" s="647"/>
      <c r="AU7" s="647"/>
      <c r="AV7" s="624">
        <f t="shared" si="1"/>
        <v>90</v>
      </c>
      <c r="AW7" s="624">
        <f t="shared" si="2"/>
        <v>45</v>
      </c>
      <c r="AX7" s="624" t="b">
        <f t="shared" si="3"/>
        <v>0</v>
      </c>
      <c r="AY7" s="624">
        <f t="shared" si="4"/>
        <v>0</v>
      </c>
      <c r="AZ7" s="624" t="b">
        <f t="shared" si="5"/>
        <v>0</v>
      </c>
      <c r="BA7" s="624">
        <f t="shared" si="6"/>
        <v>0</v>
      </c>
      <c r="BB7" s="624" t="b">
        <f t="shared" si="7"/>
        <v>0</v>
      </c>
      <c r="BC7" s="624">
        <f t="shared" si="8"/>
        <v>0</v>
      </c>
      <c r="BD7" s="624" t="b">
        <f t="shared" si="9"/>
        <v>0</v>
      </c>
      <c r="BE7" s="624">
        <f t="shared" si="10"/>
        <v>0</v>
      </c>
      <c r="BF7" s="624">
        <f t="shared" si="11"/>
        <v>45.22</v>
      </c>
      <c r="BG7" s="624" t="b">
        <f t="shared" si="12"/>
        <v>0</v>
      </c>
      <c r="BH7" s="624" t="b">
        <f t="shared" si="13"/>
        <v>0</v>
      </c>
      <c r="BI7" s="624" t="b">
        <f t="shared" si="14"/>
        <v>0</v>
      </c>
      <c r="BJ7" s="624" t="b">
        <f t="shared" si="15"/>
        <v>0</v>
      </c>
      <c r="BK7" s="624" t="b">
        <f t="shared" si="16"/>
        <v>0</v>
      </c>
      <c r="BL7" s="624" t="b">
        <f t="shared" si="17"/>
        <v>0</v>
      </c>
      <c r="BM7" s="624" t="b">
        <f t="shared" si="18"/>
        <v>0</v>
      </c>
      <c r="BN7" s="624" t="b">
        <f t="shared" si="19"/>
        <v>0</v>
      </c>
      <c r="BO7" s="624" t="b">
        <f t="shared" si="20"/>
        <v>0</v>
      </c>
      <c r="BP7" s="624" t="b">
        <f t="shared" si="21"/>
        <v>0</v>
      </c>
      <c r="BQ7" s="624" t="b">
        <f t="shared" si="22"/>
        <v>0</v>
      </c>
    </row>
    <row r="8" spans="1:71">
      <c r="A8" s="1086"/>
      <c r="B8" s="872"/>
      <c r="C8" s="872"/>
      <c r="D8" s="645"/>
      <c r="E8" s="645"/>
      <c r="F8" s="644"/>
      <c r="G8" s="644"/>
      <c r="H8" s="644"/>
      <c r="I8" s="635"/>
      <c r="J8" s="644">
        <f>IF(F8&lt;=1966,'Założenia,wskaźniki, listy'!$H$4,IF(F8&gt;1966,IF(F8&lt;=1985,'Założenia,wskaźniki, listy'!$H$5,IF(F8&gt;1985,IF(F8&lt;=1992,'Założenia,wskaźniki, listy'!$H$6,IF(F8&gt;1992,IF(F8&lt;=1996,'Założenia,wskaźniki, listy'!$H$7,IF(F8&gt;1996,IF(F8&lt;=2013,'Założenia,wskaźniki, listy'!$H$8)))))))))</f>
        <v>290</v>
      </c>
      <c r="K8" s="864"/>
      <c r="L8" s="644" t="s">
        <v>79</v>
      </c>
      <c r="M8" s="644">
        <v>1.5</v>
      </c>
      <c r="N8" s="644"/>
      <c r="O8" s="637">
        <f t="shared" ref="O8" si="30">IF(P8&gt;0,(Q8+R8+P8)/2,Q8+R8)</f>
        <v>22.5</v>
      </c>
      <c r="P8" s="646">
        <f>IF(K8="kompletna",J8*G8*0.0036*'Założenia,wskaźniki, listy'!$P$9,IF(K8="częściowa",J8*G8*0.0036*'Założenia,wskaźniki, listy'!$P$10,IF(K8="brak",J8*G8*0.0036*'Założenia,wskaźniki, listy'!$P$11,0)))</f>
        <v>0</v>
      </c>
      <c r="Q8" s="638">
        <f>H8*'Założenia,wskaźniki, listy'!$L$15</f>
        <v>0</v>
      </c>
      <c r="R8" s="635">
        <f>IF(L8="węgiel",'Mieszkalne - baza'!M8*'Założenia,wskaźniki, listy'!$B$4,IF(L8="gaz",'Mieszkalne - baza'!M8*'Założenia,wskaźniki, listy'!$B$5,IF(L8="drewno",'Mieszkalne - baza'!M8*'Założenia,wskaźniki, listy'!$B$6,IF(L8="pelet",'Mieszkalne - baza'!M8*'Założenia,wskaźniki, listy'!$B$7,IF(L8="olej opałowy",'Mieszkalne - baza'!M8*'Założenia,wskaźniki, listy'!$B$8,IF(L8="sieć ciepłownicza",0,0))))))</f>
        <v>22.5</v>
      </c>
      <c r="S8" s="1085"/>
      <c r="T8" s="639">
        <f>IF(L8="węgiel",R8*'Założenia,wskaźniki, listy'!$C$44,IF(L8="gaz",R8*'Założenia,wskaźniki, listy'!$D$44,IF(L8="drewno",R8*'Założenia,wskaźniki, listy'!$E$44,IF(L8="pelet",R8*'Założenia,wskaźniki, listy'!$F$44,IF(L8="olej opałowy",R8*'Założenia,wskaźniki, listy'!$G$44,IF(L8="sieć ciepłownicza",0,IF(L8="prąd",0,0)))))))</f>
        <v>1.0800000000000001E-2</v>
      </c>
      <c r="U8" s="639">
        <f>IF(L8="węgiel",R8*'Założenia,wskaźniki, listy'!$C$45,IF(L8="gaz",R8*'Założenia,wskaźniki, listy'!$D$45,IF(L8="drewno",R8*'Założenia,wskaźniki, listy'!$E$45,IF(L8="pelet",R8*'Założenia,wskaźniki, listy'!$F$45,IF(L8="olej opałowy",R8*'Założenia,wskaźniki, listy'!$G$45,IF(L8="sieć ciepłownicza",0,IF(L8="prąd",0,0)))))))</f>
        <v>1.0574999999999999E-2</v>
      </c>
      <c r="V8" s="639">
        <f>IF(L8="węgiel",R8*'Założenia,wskaźniki, listy'!$C$46,IF(L8="gaz",R8*'Założenia,wskaźniki, listy'!$D$46,IF(L8="drewno",R8*'Założenia,wskaźniki, listy'!$E$46,IF(L8="pelet",R8*'Założenia,wskaźniki, listy'!$F$46,IF(L8="olej opałowy",R8*'Założenia,wskaźniki, listy'!$G$46,IF(L8="sieć ciepłownicza",R8*'Założenia,wskaźniki, listy'!$H$46,IF(L8="prąd",R8*'Założenia,wskaźniki, listy'!$I$46,0)))))))</f>
        <v>0</v>
      </c>
      <c r="W8" s="639">
        <f>IF(L8="węgiel",R8*'Założenia,wskaźniki, listy'!$C$47,IF(L8="gaz",R8*'Założenia,wskaźniki, listy'!$D$47,IF(L8="drewno",R8*'Założenia,wskaźniki, listy'!$E$47,IF(L8="pelet",R8*'Założenia,wskaźniki, listy'!$F$47,IF(L8="olej opałowy",R8*'Założenia,wskaźniki, listy'!$G$47,IF(L8="sieć ciepłownicza",0,IF(L8="prąd",0,0)))))))</f>
        <v>2.7225000000000002E-6</v>
      </c>
      <c r="X8" s="639">
        <f>IF(L8="węgiel",R8*'Założenia,wskaźniki, listy'!$C$48, IF(L8="gaz",R8*'Założenia,wskaźniki, listy'!$D$48,IF(L8="drewno",R8*'Założenia,wskaźniki, listy'!$E$48,IF(L8="pelet",R8*'Założenia,wskaźniki, listy'!$F$48,IF(L8="olej opałowy",R8*'Założenia,wskaźniki, listy'!$G$48,IF(L8="sieć ciepłownicza",0,IF(L8="prąd",0,0)))))))</f>
        <v>2.475E-4</v>
      </c>
      <c r="Y8" s="639">
        <f>IF(L8="węgiel",R8*'Założenia,wskaźniki, listy'!$C$49, IF(L8="gaz",R8*'Założenia,wskaźniki, listy'!$D$49, IF(L8="drewno",R8*'Założenia,wskaźniki, listy'!$E$49,IF(L8="pelet",R8*'Założenia,wskaźniki, listy'!$F$49,IF(L8="olej opałowy",R8*'Założenia,wskaźniki, listy'!$G$49,IF(L8="sieć ciepłownicza",0,IF(L8="prąd",0,0)))))))</f>
        <v>1.8000000000000002E-3</v>
      </c>
      <c r="Z8" s="639">
        <f>IF(L8="węgiel",R8*'Założenia,wskaźniki, listy'!$C$50,IF(L8="gaz",R8*'Założenia,wskaźniki, listy'!$D$50, IF(L8="drewno",R8*'Założenia,wskaźniki, listy'!$E$50,IF(L8="pelet",R8*'Założenia,wskaźniki, listy'!$F$50,IF(L8="pelet",R8*'Założenia,wskaźniki, listy'!$F$50,IF(L8="olej opałowy",R8*'Założenia,wskaźniki, listy'!$G$50,IF(L8="sieć ciepłownicza",0,IF(L8="prąd",0,0))))))))</f>
        <v>4.0365000000000002E-3</v>
      </c>
      <c r="AA8" s="639">
        <f>IF(N8="węgiel",Q8*'Założenia,wskaźniki, listy'!$C$44,IF(N8="gaz",Q8*'Założenia,wskaźniki, listy'!$D$44,IF(N8="drewno",Q8*'Założenia,wskaźniki, listy'!$E$44,IF(N8="pelet",Q8*'Założenia,wskaźniki, listy'!$G$44,IF(N8="olej opałowy",Q8*'Założenia,wskaźniki, listy'!$G$44,IF(N8="sieć ciepłownicza",0,IF(N8="prąd",0,0)))))))</f>
        <v>0</v>
      </c>
      <c r="AB8" s="639">
        <f>IF(N8="węgiel",Q8*'Założenia,wskaźniki, listy'!$C$45,IF(N8="gaz",Q8*'Założenia,wskaźniki, listy'!$D$45,IF(N8="drewno",Q8*'Założenia,wskaźniki, listy'!$E$45,IF(N8="pelet",Q8*'Założenia,wskaźniki, listy'!$G$45,IF(N8="olej opałowy",Q8*'Założenia,wskaźniki, listy'!$G$45,IF(N8="sieć ciepłownicza",0,IF(N8="prąd",0,0)))))))</f>
        <v>0</v>
      </c>
      <c r="AC8" s="639">
        <f>IF(N8="węgiel",Q8*'Założenia,wskaźniki, listy'!$C$46,IF(N8="gaz",Q8*'Założenia,wskaźniki, listy'!$D$46,IF(N8="drewno",Q8*'Założenia,wskaźniki, listy'!$E$46,IF(N8="pelet",Q8*'Założenia,wskaźniki, listy'!$G$46,IF(N8="olej opałowy",Q8*'Założenia,wskaźniki, listy'!$G$46,IF(N8="sieć ciepłownicza",0,IF(N8="prąd",0,0)))))))</f>
        <v>0</v>
      </c>
      <c r="AD8" s="639">
        <f>IF(N8="węgiel",Q8*'Założenia,wskaźniki, listy'!$C$47,IF(N8="gaz",Q8*'Założenia,wskaźniki, listy'!$D$47,IF(N8="drewno",Q8*'Założenia,wskaźniki, listy'!$E$47,IF(N8="pelet",Q8*'Założenia,wskaźniki, listy'!$G$47,IF(N8="olej opałowy",Q8*'Założenia,wskaźniki, listy'!$G$47,IF(N8="sieć ciepłownicza",0,IF(N8="prąd",0,0)))))))</f>
        <v>0</v>
      </c>
      <c r="AE8" s="639">
        <f>IF(N8="węgiel",Q8*'Założenia,wskaźniki, listy'!$C$48,IF(N8="gaz",Q8*'Założenia,wskaźniki, listy'!$D$48,IF(N8="drewno",Q8*'Założenia,wskaźniki, listy'!$E$48,IF(N8="pelet",Q8*'Założenia,wskaźniki, listy'!$G$48,IF(N8="olej opałowy",Q8*'Założenia,wskaźniki, listy'!$G$48,IF(N8="sieć ciepłownicza",0,IF(N8="prąd",0,0)))))))</f>
        <v>0</v>
      </c>
      <c r="AF8" s="639">
        <f>IF(N8="węgiel",Q8*'Założenia,wskaźniki, listy'!$C$49,IF(N8="gaz",Q8*'Założenia,wskaźniki, listy'!$D$49,IF(N8="drewno",Q8*'Założenia,wskaźniki, listy'!$E$49,IF(N8="pelet",Q8*'Założenia,wskaźniki, listy'!$G$49,IF(N8="olej opałowy",Q8*'Założenia,wskaźniki, listy'!$G$49,IF(N8="sieć ciepłownicza",0,IF(N8="prąd",0,0)))))))</f>
        <v>0</v>
      </c>
      <c r="AG8" s="639">
        <f>IF(N8="węgiel",Q8*'Założenia,wskaźniki, listy'!$C$50,IF(N8="gaz",Q8*'Założenia,wskaźniki, listy'!$D$50,IF(N8="drewno",Q8*'Założenia,wskaźniki, listy'!$E$50,IF(N8="pelet",Q8*'Założenia,wskaźniki, listy'!$G$50,IF(N8="olej opałowy",Q8*'Założenia,wskaźniki, listy'!$G$50,IF(N8="sieć ciepłownicza",0,IF(N8="prąd",0,0)))))))</f>
        <v>0</v>
      </c>
      <c r="AH8" s="640">
        <f>IF(L8="węgiel",(P8+R8)/2*'Założenia,wskaźniki, listy'!$C$4,IF(L8="gaz",(P8+R8)/2*'Założenia,wskaźniki, listy'!$C$5,IF(L8="drewno",(P8+R8)/2*'Założenia,wskaźniki, listy'!$C$6,IF(L8="pelet",(P8+R8)/2*'Założenia,wskaźniki, listy'!$C$7,IF(L8="olej opałowy",(P8+R8)/2*'Założenia,wskaźniki, listy'!$C$8,IF(L8="sieć ciepłownicza",(P8+R8)/2*'Założenia,wskaźniki, listy'!$C$9,IF(L8="sieć ciepłownicza",(P8+R8)/2*'Założenia,wskaźniki, listy'!$C$10,)))))))</f>
        <v>427.5</v>
      </c>
      <c r="AI8" s="640">
        <f>IF(N8="węgiel",Q8*'Założenia,wskaźniki, listy'!$C$4,IF(N8="gaz",Q8*'Założenia,wskaźniki, listy'!$C$5,IF(N8="drewno",Q8*'Założenia,wskaźniki, listy'!$C$6,IF(N8="pelet",Q8*'Założenia,wskaźniki, listy'!$C$7,IF(N8="olej opałowy",Q8*'Założenia,wskaźniki, listy'!$C$8,IF(N8="sieć ciepłownicza",Q8*'Założenia,wskaźniki, listy'!$C$9,IF(N8="sieć ciepłownicza",Q8*'Założenia,wskaźniki, listy'!$C$10,0)))))))</f>
        <v>0</v>
      </c>
      <c r="AJ8" s="640">
        <f>S8*'Założenia,wskaźniki, listy'!$B$64*1000</f>
        <v>0</v>
      </c>
      <c r="AK8" s="640">
        <f>(H8+I8)*'Założenia,wskaźniki, listy'!$D$64*12</f>
        <v>0</v>
      </c>
      <c r="AL8" s="640">
        <f>AK8*'Założenia,wskaźniki, listy'!$F$64</f>
        <v>0</v>
      </c>
      <c r="AM8" s="639">
        <f t="shared" ref="AM8" si="31">T8+AA8</f>
        <v>1.0800000000000001E-2</v>
      </c>
      <c r="AN8" s="639">
        <f t="shared" ref="AN8" si="32">U8+AB8</f>
        <v>1.0574999999999999E-2</v>
      </c>
      <c r="AO8" s="639">
        <f>V8+AC8+S8*'Założenia,wskaźniki, listy'!$J$46</f>
        <v>0</v>
      </c>
      <c r="AP8" s="639">
        <f t="shared" ref="AP8" si="33">W8+AD8</f>
        <v>2.7225000000000002E-6</v>
      </c>
      <c r="AQ8" s="639">
        <f t="shared" ref="AQ8" si="34">X8+AE8</f>
        <v>2.475E-4</v>
      </c>
      <c r="AR8" s="639">
        <f t="shared" ref="AR8" si="35">Y8+AF8</f>
        <v>1.8000000000000002E-3</v>
      </c>
      <c r="AS8" s="639">
        <f t="shared" ref="AS8" si="36">Z8+AG8</f>
        <v>4.0365000000000002E-3</v>
      </c>
      <c r="AT8" s="647"/>
      <c r="AU8" s="647"/>
      <c r="AV8" s="624">
        <f t="shared" si="1"/>
        <v>0</v>
      </c>
      <c r="AW8" s="624" t="b">
        <f t="shared" si="2"/>
        <v>0</v>
      </c>
      <c r="AX8" s="624" t="b">
        <f t="shared" si="3"/>
        <v>0</v>
      </c>
      <c r="AY8" s="624" t="b">
        <f t="shared" si="4"/>
        <v>0</v>
      </c>
      <c r="AZ8" s="624" t="b">
        <f t="shared" si="5"/>
        <v>0</v>
      </c>
      <c r="BA8" s="624" t="b">
        <f t="shared" si="6"/>
        <v>0</v>
      </c>
      <c r="BB8" s="624" t="b">
        <f t="shared" si="7"/>
        <v>0</v>
      </c>
      <c r="BC8" s="624" t="b">
        <f t="shared" si="8"/>
        <v>0</v>
      </c>
      <c r="BD8" s="624" t="b">
        <f t="shared" si="9"/>
        <v>0</v>
      </c>
      <c r="BE8" s="624" t="b">
        <f t="shared" si="10"/>
        <v>0</v>
      </c>
      <c r="BF8" s="624" t="b">
        <f t="shared" si="11"/>
        <v>0</v>
      </c>
      <c r="BG8" s="624" t="b">
        <f t="shared" si="12"/>
        <v>0</v>
      </c>
      <c r="BH8" s="624">
        <f t="shared" si="13"/>
        <v>22.5</v>
      </c>
      <c r="BI8" s="624" t="b">
        <f t="shared" si="14"/>
        <v>0</v>
      </c>
      <c r="BJ8" s="624" t="b">
        <f t="shared" si="15"/>
        <v>0</v>
      </c>
      <c r="BK8" s="624" t="b">
        <f t="shared" si="16"/>
        <v>0</v>
      </c>
      <c r="BL8" s="624" t="b">
        <f t="shared" si="17"/>
        <v>0</v>
      </c>
      <c r="BM8" s="624" t="b">
        <f t="shared" si="18"/>
        <v>0</v>
      </c>
      <c r="BN8" s="624" t="b">
        <f t="shared" si="19"/>
        <v>0</v>
      </c>
      <c r="BO8" s="624" t="b">
        <f t="shared" si="20"/>
        <v>0</v>
      </c>
      <c r="BP8" s="624" t="b">
        <f t="shared" si="21"/>
        <v>0</v>
      </c>
      <c r="BQ8" s="624" t="b">
        <f t="shared" si="22"/>
        <v>0</v>
      </c>
    </row>
    <row r="9" spans="1:71">
      <c r="A9" s="1089">
        <v>3</v>
      </c>
      <c r="B9" s="873" t="s">
        <v>21</v>
      </c>
      <c r="C9" s="873" t="s">
        <v>621</v>
      </c>
      <c r="D9" s="636" t="s">
        <v>622</v>
      </c>
      <c r="E9" s="645">
        <v>22</v>
      </c>
      <c r="F9" s="644">
        <v>1992</v>
      </c>
      <c r="G9" s="644">
        <v>200</v>
      </c>
      <c r="H9" s="644"/>
      <c r="I9" s="635"/>
      <c r="J9" s="644">
        <f>IF(F9&lt;=1966,'Założenia,wskaźniki, listy'!$H$4,IF(F9&gt;1966,IF(F9&lt;=1985,'Założenia,wskaźniki, listy'!$H$5,IF(F9&gt;1985,IF(F9&lt;=1992,'Założenia,wskaźniki, listy'!$H$6,IF(F9&gt;1992,IF(F9&lt;=1996,'Założenia,wskaźniki, listy'!$H$7,IF(F9&gt;1996,IF(F9&lt;=2013,'Założenia,wskaźniki, listy'!$H$8)))))))))</f>
        <v>175</v>
      </c>
      <c r="K9" s="864" t="s">
        <v>31</v>
      </c>
      <c r="L9" s="644" t="s">
        <v>8</v>
      </c>
      <c r="M9" s="644">
        <v>5</v>
      </c>
      <c r="N9" s="644"/>
      <c r="O9" s="637">
        <f t="shared" si="23"/>
        <v>119.52500000000001</v>
      </c>
      <c r="P9" s="646">
        <f>IF(K9="kompletna",J9*G9*0.0036*'Założenia,wskaźniki, listy'!$P$9,IF(K9="częściowa",J9*G9*0.0036*'Założenia,wskaźniki, listy'!$P$10,IF(K9="brak",J9*G9*0.0036*'Założenia,wskaźniki, listy'!$P$11,0)))</f>
        <v>126</v>
      </c>
      <c r="Q9" s="638">
        <f>H9*'Założenia,wskaźniki, listy'!$L$15</f>
        <v>0</v>
      </c>
      <c r="R9" s="635">
        <f>IF(L9="węgiel",'Mieszkalne - baza'!M9*'Założenia,wskaźniki, listy'!$B$4,IF(L9="gaz",'Mieszkalne - baza'!M9*'Założenia,wskaźniki, listy'!$B$5,IF(L9="drewno",'Mieszkalne - baza'!M9*'Założenia,wskaźniki, listy'!$B$6,IF(L9="pelet",'Mieszkalne - baza'!M9*'Założenia,wskaźniki, listy'!$B$7,IF(L9="olej opałowy",'Mieszkalne - baza'!M9*'Założenia,wskaźniki, listy'!$B$8,IF(L9="sieć ciepłownicza",0,0))))))</f>
        <v>113.05</v>
      </c>
      <c r="S9" s="1084">
        <v>1.6919999999999999</v>
      </c>
      <c r="T9" s="639">
        <f>IF(L9="węgiel",R9*'Założenia,wskaźniki, listy'!$C$44,IF(L9="gaz",R9*'Założenia,wskaźniki, listy'!$D$44,IF(L9="drewno",R9*'Założenia,wskaźniki, listy'!$E$44,IF(L9="pelet",R9*'Założenia,wskaźniki, listy'!$F$44,IF(L9="olej opałowy",R9*'Założenia,wskaźniki, listy'!$G$44,IF(L9="sieć ciepłownicza",0,IF(L9="prąd",0,0)))))))</f>
        <v>2.5436249999999997E-2</v>
      </c>
      <c r="U9" s="639">
        <f>IF(L9="węgiel",R9*'Założenia,wskaźniki, listy'!$C$45,IF(L9="gaz",R9*'Założenia,wskaźniki, listy'!$D$45,IF(L9="drewno",R9*'Założenia,wskaźniki, listy'!$E$45,IF(L9="pelet",R9*'Założenia,wskaźniki, listy'!$F$45,IF(L9="olej opałowy",R9*'Założenia,wskaźniki, listy'!$G$45,IF(L9="sieć ciepłownicza",0,IF(L9="prąd",0,0)))))))</f>
        <v>2.2723050000000002E-2</v>
      </c>
      <c r="V9" s="639">
        <f>IF(L9="węgiel",R9*'Założenia,wskaźniki, listy'!$C$46,IF(L9="gaz",R9*'Założenia,wskaźniki, listy'!$D$46,IF(L9="drewno",R9*'Założenia,wskaźniki, listy'!$E$46,IF(L9="pelet",R9*'Założenia,wskaźniki, listy'!$F$46,IF(L9="olej opałowy",R9*'Założenia,wskaźniki, listy'!$G$46,IF(L9="sieć ciepłownicza",R9*'Założenia,wskaźniki, listy'!$H$46,IF(L9="prąd",R9*'Założenia,wskaźniki, listy'!$I$46,0)))))))</f>
        <v>10.597306999999999</v>
      </c>
      <c r="W9" s="639">
        <f>IF(L9="węgiel",R9*'Założenia,wskaźniki, listy'!$C$47,IF(L9="gaz",R9*'Założenia,wskaźniki, listy'!$D$47,IF(L9="drewno",R9*'Założenia,wskaźniki, listy'!$E$47,IF(L9="pelet",R9*'Założenia,wskaźniki, listy'!$F$47,IF(L9="olej opałowy",R9*'Założenia,wskaźniki, listy'!$G$47,IF(L9="sieć ciepłownicza",0,IF(L9="prąd",0,0)))))))</f>
        <v>3.05235E-5</v>
      </c>
      <c r="X9" s="639">
        <f>IF(L9="węgiel",R9*'Założenia,wskaźniki, listy'!$C$48, IF(L9="gaz",R9*'Założenia,wskaźniki, listy'!$D$48,IF(L9="drewno",R9*'Założenia,wskaźniki, listy'!$E$48,IF(L9="pelet",R9*'Założenia,wskaźniki, listy'!$F$48,IF(L9="olej opałowy",R9*'Założenia,wskaźniki, listy'!$G$48,IF(L9="sieć ciepłownicza",0,IF(L9="prąd",0,0)))))))</f>
        <v>0.10174499999999999</v>
      </c>
      <c r="Y9" s="639">
        <f>IF(L9="węgiel",R9*'Założenia,wskaźniki, listy'!$C$49, IF(L9="gaz",R9*'Założenia,wskaźniki, listy'!$D$49, IF(L9="drewno",R9*'Założenia,wskaźniki, listy'!$E$49,IF(L9="pelet",R9*'Założenia,wskaźniki, listy'!$F$49,IF(L9="olej opałowy",R9*'Założenia,wskaźniki, listy'!$G$49,IF(L9="sieć ciepłownicza",0,IF(L9="prąd",0,0)))))))</f>
        <v>1.78619E-2</v>
      </c>
      <c r="Z9" s="639">
        <f>IF(L9="węgiel",R9*'Założenia,wskaźniki, listy'!$C$50,IF(L9="gaz",R9*'Założenia,wskaźniki, listy'!$D$50, IF(L9="drewno",R9*'Założenia,wskaźniki, listy'!$E$50,IF(L9="pelet",R9*'Założenia,wskaźniki, listy'!$F$50,IF(L9="pelet",R9*'Założenia,wskaźniki, listy'!$F$50,IF(L9="olej opałowy",R9*'Założenia,wskaźniki, listy'!$G$50,IF(L9="sieć ciepłownicza",0,IF(L9="prąd",0,0))))))))</f>
        <v>0.22741394725078226</v>
      </c>
      <c r="AA9" s="639">
        <f>IF(N9="węgiel",Q9*'Założenia,wskaźniki, listy'!$C$44,IF(N9="gaz",Q9*'Założenia,wskaźniki, listy'!$D$44,IF(N9="drewno",Q9*'Założenia,wskaźniki, listy'!$E$44,IF(N9="pelet",Q9*'Założenia,wskaźniki, listy'!$G$44,IF(N9="olej opałowy",Q9*'Założenia,wskaźniki, listy'!$G$44,IF(N9="sieć ciepłownicza",0,IF(N9="prąd",0,0)))))))</f>
        <v>0</v>
      </c>
      <c r="AB9" s="639">
        <f>IF(N9="węgiel",Q9*'Założenia,wskaźniki, listy'!$C$45,IF(N9="gaz",Q9*'Założenia,wskaźniki, listy'!$D$45,IF(N9="drewno",Q9*'Założenia,wskaźniki, listy'!$E$45,IF(N9="pelet",Q9*'Założenia,wskaźniki, listy'!$G$45,IF(N9="olej opałowy",Q9*'Założenia,wskaźniki, listy'!$G$45,IF(N9="sieć ciepłownicza",0,IF(N9="prąd",0,0)))))))</f>
        <v>0</v>
      </c>
      <c r="AC9" s="639">
        <f>IF(N9="węgiel",Q9*'Założenia,wskaźniki, listy'!$C$46,IF(N9="gaz",Q9*'Założenia,wskaźniki, listy'!$D$46,IF(N9="drewno",Q9*'Założenia,wskaźniki, listy'!$E$46,IF(N9="pelet",Q9*'Założenia,wskaźniki, listy'!$G$46,IF(N9="olej opałowy",Q9*'Założenia,wskaźniki, listy'!$G$46,IF(N9="sieć ciepłownicza",0,IF(N9="prąd",0,0)))))))</f>
        <v>0</v>
      </c>
      <c r="AD9" s="639">
        <f>IF(N9="węgiel",Q9*'Założenia,wskaźniki, listy'!$C$47,IF(N9="gaz",Q9*'Założenia,wskaźniki, listy'!$D$47,IF(N9="drewno",Q9*'Założenia,wskaźniki, listy'!$E$47,IF(N9="pelet",Q9*'Założenia,wskaźniki, listy'!$G$47,IF(N9="olej opałowy",Q9*'Założenia,wskaźniki, listy'!$G$47,IF(N9="sieć ciepłownicza",0,IF(N9="prąd",0,0)))))))</f>
        <v>0</v>
      </c>
      <c r="AE9" s="639">
        <f>IF(N9="węgiel",Q9*'Założenia,wskaźniki, listy'!$C$48,IF(N9="gaz",Q9*'Założenia,wskaźniki, listy'!$D$48,IF(N9="drewno",Q9*'Założenia,wskaźniki, listy'!$E$48,IF(N9="pelet",Q9*'Założenia,wskaźniki, listy'!$G$48,IF(N9="olej opałowy",Q9*'Założenia,wskaźniki, listy'!$G$48,IF(N9="sieć ciepłownicza",0,IF(N9="prąd",0,0)))))))</f>
        <v>0</v>
      </c>
      <c r="AF9" s="639">
        <f>IF(N9="węgiel",Q9*'Założenia,wskaźniki, listy'!$C$49,IF(N9="gaz",Q9*'Założenia,wskaźniki, listy'!$D$49,IF(N9="drewno",Q9*'Założenia,wskaźniki, listy'!$E$49,IF(N9="pelet",Q9*'Założenia,wskaźniki, listy'!$G$49,IF(N9="olej opałowy",Q9*'Założenia,wskaźniki, listy'!$G$49,IF(N9="sieć ciepłownicza",0,IF(N9="prąd",0,0)))))))</f>
        <v>0</v>
      </c>
      <c r="AG9" s="639">
        <f>IF(N9="węgiel",Q9*'Założenia,wskaźniki, listy'!$C$50,IF(N9="gaz",Q9*'Założenia,wskaźniki, listy'!$D$50,IF(N9="drewno",Q9*'Założenia,wskaźniki, listy'!$E$50,IF(N9="pelet",Q9*'Założenia,wskaźniki, listy'!$G$50,IF(N9="olej opałowy",Q9*'Założenia,wskaźniki, listy'!$G$50,IF(N9="sieć ciepłownicza",0,IF(N9="prąd",0,0)))))))</f>
        <v>0</v>
      </c>
      <c r="AH9" s="640">
        <f>IF(L9="węgiel",(P9+R9)/2*'Założenia,wskaźniki, listy'!$C$4,IF(L9="gaz",(P9+R9)/2*'Założenia,wskaźniki, listy'!$C$5,IF(L9="drewno",(P9+R9)/2*'Założenia,wskaźniki, listy'!$C$6,IF(L9="pelet",(P9+R9)/2*'Założenia,wskaźniki, listy'!$C$7,IF(L9="olej opałowy",(P9+R9)/2*'Założenia,wskaźniki, listy'!$C$8,IF(L9="sieć ciepłownicza",(P9+R9)/2*'Założenia,wskaźniki, listy'!$C$9,IF(L9="sieć ciepłownicza",(P9+R9)/2*'Założenia,wskaźniki, listy'!$C$10,)))))))</f>
        <v>4900.5250000000005</v>
      </c>
      <c r="AI9" s="640">
        <f>IF(N9="węgiel",Q9*'Założenia,wskaźniki, listy'!$C$4,IF(N9="gaz",Q9*'Założenia,wskaźniki, listy'!$C$5,IF(N9="drewno",Q9*'Założenia,wskaźniki, listy'!$C$6,IF(N9="pelet",Q9*'Założenia,wskaźniki, listy'!$C$7,IF(N9="olej opałowy",Q9*'Założenia,wskaźniki, listy'!$C$8,IF(N9="sieć ciepłownicza",Q9*'Założenia,wskaźniki, listy'!$C$9,IF(N9="sieć ciepłownicza",Q9*'Założenia,wskaźniki, listy'!$C$10,0)))))))</f>
        <v>0</v>
      </c>
      <c r="AJ9" s="640">
        <f>S9*'Założenia,wskaźniki, listy'!$B$64*1000</f>
        <v>1201.32</v>
      </c>
      <c r="AK9" s="640">
        <f>(H9+I9)*'Założenia,wskaźniki, listy'!$D$64*12</f>
        <v>0</v>
      </c>
      <c r="AL9" s="640">
        <f>AK9*'Założenia,wskaźniki, listy'!$F$64</f>
        <v>0</v>
      </c>
      <c r="AM9" s="639">
        <f t="shared" si="24"/>
        <v>2.5436249999999997E-2</v>
      </c>
      <c r="AN9" s="639">
        <f t="shared" si="25"/>
        <v>2.2723050000000002E-2</v>
      </c>
      <c r="AO9" s="639">
        <f>V9+AC9+S9*'Założenia,wskaźniki, listy'!$J$46</f>
        <v>12.004204999999999</v>
      </c>
      <c r="AP9" s="639">
        <f t="shared" si="26"/>
        <v>3.05235E-5</v>
      </c>
      <c r="AQ9" s="639">
        <f t="shared" si="27"/>
        <v>0.10174499999999999</v>
      </c>
      <c r="AR9" s="639">
        <f t="shared" si="28"/>
        <v>1.78619E-2</v>
      </c>
      <c r="AS9" s="639">
        <f t="shared" si="29"/>
        <v>0.22741394725078226</v>
      </c>
      <c r="AT9" s="647"/>
      <c r="AU9" s="647"/>
      <c r="AV9" s="624" t="b">
        <f t="shared" si="1"/>
        <v>0</v>
      </c>
      <c r="AW9" s="624" t="b">
        <f t="shared" si="2"/>
        <v>0</v>
      </c>
      <c r="AX9" s="624" t="b">
        <f t="shared" si="3"/>
        <v>0</v>
      </c>
      <c r="AY9" s="624" t="b">
        <f t="shared" si="4"/>
        <v>0</v>
      </c>
      <c r="AZ9" s="624">
        <f t="shared" si="5"/>
        <v>200</v>
      </c>
      <c r="BA9" s="624" t="b">
        <f t="shared" si="6"/>
        <v>0</v>
      </c>
      <c r="BB9" s="624" t="b">
        <f t="shared" si="7"/>
        <v>0</v>
      </c>
      <c r="BC9" s="624" t="b">
        <f t="shared" si="8"/>
        <v>0</v>
      </c>
      <c r="BD9" s="624" t="b">
        <f t="shared" si="9"/>
        <v>0</v>
      </c>
      <c r="BE9" s="624" t="b">
        <f t="shared" si="10"/>
        <v>0</v>
      </c>
      <c r="BF9" s="624">
        <f t="shared" si="11"/>
        <v>113.05</v>
      </c>
      <c r="BG9" s="624" t="b">
        <f t="shared" si="12"/>
        <v>0</v>
      </c>
      <c r="BH9" s="624" t="b">
        <f t="shared" si="13"/>
        <v>0</v>
      </c>
      <c r="BI9" s="624" t="b">
        <f t="shared" si="14"/>
        <v>0</v>
      </c>
      <c r="BJ9" s="624" t="b">
        <f t="shared" si="15"/>
        <v>0</v>
      </c>
      <c r="BK9" s="624" t="b">
        <f t="shared" si="16"/>
        <v>0</v>
      </c>
      <c r="BL9" s="624" t="b">
        <f t="shared" si="17"/>
        <v>0</v>
      </c>
      <c r="BM9" s="624" t="b">
        <f t="shared" si="18"/>
        <v>0</v>
      </c>
      <c r="BN9" s="624" t="b">
        <f t="shared" si="19"/>
        <v>0</v>
      </c>
      <c r="BO9" s="624" t="b">
        <f t="shared" si="20"/>
        <v>0</v>
      </c>
      <c r="BP9" s="624" t="b">
        <f t="shared" si="21"/>
        <v>0</v>
      </c>
      <c r="BQ9" s="624" t="b">
        <f t="shared" si="22"/>
        <v>0</v>
      </c>
    </row>
    <row r="10" spans="1:71">
      <c r="A10" s="1110"/>
      <c r="B10" s="872"/>
      <c r="C10" s="872"/>
      <c r="D10" s="645"/>
      <c r="E10" s="645"/>
      <c r="F10" s="644"/>
      <c r="G10" s="644"/>
      <c r="H10" s="644"/>
      <c r="I10" s="635"/>
      <c r="J10" s="644">
        <f>IF(F10&lt;=1966,'Założenia,wskaźniki, listy'!$H$4,IF(F10&gt;1966,IF(F10&lt;=1985,'Założenia,wskaźniki, listy'!$H$5,IF(F10&gt;1985,IF(F10&lt;=1992,'Założenia,wskaźniki, listy'!$H$6,IF(F10&gt;1992,IF(F10&lt;=1996,'Założenia,wskaźniki, listy'!$H$7,IF(F10&gt;1996,IF(F10&lt;=2013,'Założenia,wskaźniki, listy'!$H$8)))))))))</f>
        <v>290</v>
      </c>
      <c r="K10" s="864"/>
      <c r="L10" s="644"/>
      <c r="M10" s="644"/>
      <c r="N10" s="644"/>
      <c r="O10" s="637">
        <f t="shared" si="23"/>
        <v>0</v>
      </c>
      <c r="P10" s="646">
        <f>IF(K10="kompletna",J10*G10*0.0036*'Założenia,wskaźniki, listy'!$P$9,IF(K10="częściowa",J10*G10*0.0036*'Założenia,wskaźniki, listy'!$P$10,IF(K10="brak",J10*G10*0.0036*'Założenia,wskaźniki, listy'!$P$11,0)))</f>
        <v>0</v>
      </c>
      <c r="Q10" s="638">
        <f>H10*'Założenia,wskaźniki, listy'!$L$15</f>
        <v>0</v>
      </c>
      <c r="R10" s="635">
        <f>IF(L10="węgiel",'Mieszkalne - baza'!M10*'Założenia,wskaźniki, listy'!$B$4,IF(L10="gaz",'Mieszkalne - baza'!M10*'Założenia,wskaźniki, listy'!$B$5,IF(L10="drewno",'Mieszkalne - baza'!M10*'Założenia,wskaźniki, listy'!$B$6,IF(L10="pelet",'Mieszkalne - baza'!M10*'Założenia,wskaźniki, listy'!$B$7,IF(L10="olej opałowy",'Mieszkalne - baza'!M10*'Założenia,wskaźniki, listy'!$B$8,IF(L10="sieć ciepłownicza",0,0))))))</f>
        <v>0</v>
      </c>
      <c r="S10" s="1085"/>
      <c r="T10" s="639">
        <f>IF(L10="węgiel",R10*'Założenia,wskaźniki, listy'!$C$44,IF(L10="gaz",R10*'Założenia,wskaźniki, listy'!$D$44,IF(L10="drewno",R10*'Założenia,wskaźniki, listy'!$E$44,IF(L10="pelet",R10*'Założenia,wskaźniki, listy'!$F$44,IF(L10="olej opałowy",R10*'Założenia,wskaźniki, listy'!$G$44,IF(L10="sieć ciepłownicza",0,IF(L10="prąd",0,0)))))))</f>
        <v>0</v>
      </c>
      <c r="U10" s="639">
        <f>IF(L10="węgiel",R10*'Założenia,wskaźniki, listy'!$C$45,IF(L10="gaz",R10*'Założenia,wskaźniki, listy'!$D$45,IF(L10="drewno",R10*'Założenia,wskaźniki, listy'!$E$45,IF(L10="pelet",R10*'Założenia,wskaźniki, listy'!$F$45,IF(L10="olej opałowy",R10*'Założenia,wskaźniki, listy'!$G$45,IF(L10="sieć ciepłownicza",0,IF(L10="prąd",0,0)))))))</f>
        <v>0</v>
      </c>
      <c r="V10" s="639">
        <f>IF(L10="węgiel",R10*'Założenia,wskaźniki, listy'!$C$46,IF(L10="gaz",R10*'Założenia,wskaźniki, listy'!$D$46,IF(L10="drewno",R10*'Założenia,wskaźniki, listy'!$E$46,IF(L10="pelet",R10*'Założenia,wskaźniki, listy'!$F$46,IF(L10="olej opałowy",R10*'Założenia,wskaźniki, listy'!$G$46,IF(L10="sieć ciepłownicza",R10*'Założenia,wskaźniki, listy'!$H$46,IF(L10="prąd",R10*'Założenia,wskaźniki, listy'!$I$46,0)))))))</f>
        <v>0</v>
      </c>
      <c r="W10" s="639">
        <f>IF(L10="węgiel",R10*'Założenia,wskaźniki, listy'!$C$47,IF(L10="gaz",R10*'Założenia,wskaźniki, listy'!$D$47,IF(L10="drewno",R10*'Założenia,wskaźniki, listy'!$E$47,IF(L10="pelet",R10*'Założenia,wskaźniki, listy'!$F$47,IF(L10="olej opałowy",R10*'Założenia,wskaźniki, listy'!$G$47,IF(L10="sieć ciepłownicza",0,IF(L10="prąd",0,0)))))))</f>
        <v>0</v>
      </c>
      <c r="X10" s="639">
        <f>IF(L10="węgiel",R10*'Założenia,wskaźniki, listy'!$C$48, IF(L10="gaz",R10*'Założenia,wskaźniki, listy'!$D$48,IF(L10="drewno",R10*'Założenia,wskaźniki, listy'!$E$48,IF(L10="pelet",R10*'Założenia,wskaźniki, listy'!$F$48,IF(L10="olej opałowy",R10*'Założenia,wskaźniki, listy'!$G$48,IF(L10="sieć ciepłownicza",0,IF(L10="prąd",0,0)))))))</f>
        <v>0</v>
      </c>
      <c r="Y10" s="639">
        <f>IF(L10="węgiel",R10*'Założenia,wskaźniki, listy'!$C$49, IF(L10="gaz",R10*'Założenia,wskaźniki, listy'!$D$49, IF(L10="drewno",R10*'Założenia,wskaźniki, listy'!$E$49,IF(L10="pelet",R10*'Założenia,wskaźniki, listy'!$F$49,IF(L10="olej opałowy",R10*'Założenia,wskaźniki, listy'!$G$49,IF(L10="sieć ciepłownicza",0,IF(L10="prąd",0,0)))))))</f>
        <v>0</v>
      </c>
      <c r="Z10" s="639">
        <f>IF(L10="węgiel",R10*'Założenia,wskaźniki, listy'!$C$50,IF(L10="gaz",R10*'Założenia,wskaźniki, listy'!$D$50, IF(L10="drewno",R10*'Założenia,wskaźniki, listy'!$E$50,IF(L10="pelet",R10*'Założenia,wskaźniki, listy'!$F$50,IF(L10="pelet",R10*'Założenia,wskaźniki, listy'!$F$50,IF(L10="olej opałowy",R10*'Założenia,wskaźniki, listy'!$G$50,IF(L10="sieć ciepłownicza",0,IF(L10="prąd",0,0))))))))</f>
        <v>0</v>
      </c>
      <c r="AA10" s="639">
        <f>IF(N10="węgiel",Q10*'Założenia,wskaźniki, listy'!$C$44,IF(N10="gaz",Q10*'Założenia,wskaźniki, listy'!$D$44,IF(N10="drewno",Q10*'Założenia,wskaźniki, listy'!$E$44,IF(N10="pelet",Q10*'Założenia,wskaźniki, listy'!$G$44,IF(N10="olej opałowy",Q10*'Założenia,wskaźniki, listy'!$G$44,IF(N10="sieć ciepłownicza",0,IF(N10="prąd",0,0)))))))</f>
        <v>0</v>
      </c>
      <c r="AB10" s="639">
        <f>IF(N10="węgiel",Q10*'Założenia,wskaźniki, listy'!$C$45,IF(N10="gaz",Q10*'Założenia,wskaźniki, listy'!$D$45,IF(N10="drewno",Q10*'Założenia,wskaźniki, listy'!$E$45,IF(N10="pelet",Q10*'Założenia,wskaźniki, listy'!$G$45,IF(N10="olej opałowy",Q10*'Założenia,wskaźniki, listy'!$G$45,IF(N10="sieć ciepłownicza",0,IF(N10="prąd",0,0)))))))</f>
        <v>0</v>
      </c>
      <c r="AC10" s="639">
        <f>IF(N10="węgiel",Q10*'Założenia,wskaźniki, listy'!$C$46,IF(N10="gaz",Q10*'Założenia,wskaźniki, listy'!$D$46,IF(N10="drewno",Q10*'Założenia,wskaźniki, listy'!$E$46,IF(N10="pelet",Q10*'Założenia,wskaźniki, listy'!$G$46,IF(N10="olej opałowy",Q10*'Założenia,wskaźniki, listy'!$G$46,IF(N10="sieć ciepłownicza",0,IF(N10="prąd",0,0)))))))</f>
        <v>0</v>
      </c>
      <c r="AD10" s="639">
        <f>IF(N10="węgiel",Q10*'Założenia,wskaźniki, listy'!$C$47,IF(N10="gaz",Q10*'Założenia,wskaźniki, listy'!$D$47,IF(N10="drewno",Q10*'Założenia,wskaźniki, listy'!$E$47,IF(N10="pelet",Q10*'Założenia,wskaźniki, listy'!$G$47,IF(N10="olej opałowy",Q10*'Założenia,wskaźniki, listy'!$G$47,IF(N10="sieć ciepłownicza",0,IF(N10="prąd",0,0)))))))</f>
        <v>0</v>
      </c>
      <c r="AE10" s="639">
        <f>IF(N10="węgiel",Q10*'Założenia,wskaźniki, listy'!$C$48,IF(N10="gaz",Q10*'Założenia,wskaźniki, listy'!$D$48,IF(N10="drewno",Q10*'Założenia,wskaźniki, listy'!$E$48,IF(N10="pelet",Q10*'Założenia,wskaźniki, listy'!$G$48,IF(N10="olej opałowy",Q10*'Założenia,wskaźniki, listy'!$G$48,IF(N10="sieć ciepłownicza",0,IF(N10="prąd",0,0)))))))</f>
        <v>0</v>
      </c>
      <c r="AF10" s="639">
        <f>IF(N10="węgiel",Q10*'Założenia,wskaźniki, listy'!$C$49,IF(N10="gaz",Q10*'Założenia,wskaźniki, listy'!$D$49,IF(N10="drewno",Q10*'Założenia,wskaźniki, listy'!$E$49,IF(N10="pelet",Q10*'Założenia,wskaźniki, listy'!$G$49,IF(N10="olej opałowy",Q10*'Założenia,wskaźniki, listy'!$G$49,IF(N10="sieć ciepłownicza",0,IF(N10="prąd",0,0)))))))</f>
        <v>0</v>
      </c>
      <c r="AG10" s="639">
        <f>IF(N10="węgiel",Q10*'Założenia,wskaźniki, listy'!$C$50,IF(N10="gaz",Q10*'Założenia,wskaźniki, listy'!$D$50,IF(N10="drewno",Q10*'Założenia,wskaźniki, listy'!$E$50,IF(N10="pelet",Q10*'Założenia,wskaźniki, listy'!$G$50,IF(N10="olej opałowy",Q10*'Założenia,wskaźniki, listy'!$G$50,IF(N10="sieć ciepłownicza",0,IF(N10="prąd",0,0)))))))</f>
        <v>0</v>
      </c>
      <c r="AH10" s="640">
        <f>IF(L10="węgiel",(P10+R10)/2*'Założenia,wskaźniki, listy'!$C$4,IF(L10="gaz",(P10+R10)/2*'Założenia,wskaźniki, listy'!$C$5,IF(L10="drewno",(P10+R10)/2*'Założenia,wskaźniki, listy'!$C$6,IF(L10="pelet",(P10+R10)/2*'Założenia,wskaźniki, listy'!$C$7,IF(L10="olej opałowy",(P10+R10)/2*'Założenia,wskaźniki, listy'!$C$8,IF(L10="sieć ciepłownicza",(P10+R10)/2*'Założenia,wskaźniki, listy'!$C$9,IF(L10="sieć ciepłownicza",(P10+R10)/2*'Założenia,wskaźniki, listy'!$C$10,)))))))</f>
        <v>0</v>
      </c>
      <c r="AI10" s="640">
        <f>IF(N10="węgiel",Q10*'Założenia,wskaźniki, listy'!$C$4,IF(N10="gaz",Q10*'Założenia,wskaźniki, listy'!$C$5,IF(N10="drewno",Q10*'Założenia,wskaźniki, listy'!$C$6,IF(N10="pelet",Q10*'Założenia,wskaźniki, listy'!$C$7,IF(N10="olej opałowy",Q10*'Założenia,wskaźniki, listy'!$C$8,IF(N10="sieć ciepłownicza",Q10*'Założenia,wskaźniki, listy'!$C$9,IF(N10="sieć ciepłownicza",Q10*'Założenia,wskaźniki, listy'!$C$10,0)))))))</f>
        <v>0</v>
      </c>
      <c r="AJ10" s="640">
        <f>S10*'Założenia,wskaźniki, listy'!$B$64*1000</f>
        <v>0</v>
      </c>
      <c r="AK10" s="640">
        <f>(H10+I10)*'Założenia,wskaźniki, listy'!$D$64*12</f>
        <v>0</v>
      </c>
      <c r="AL10" s="640">
        <f>AK10*'Założenia,wskaźniki, listy'!$F$64</f>
        <v>0</v>
      </c>
      <c r="AM10" s="639">
        <f t="shared" si="24"/>
        <v>0</v>
      </c>
      <c r="AN10" s="639">
        <f t="shared" si="25"/>
        <v>0</v>
      </c>
      <c r="AO10" s="639">
        <f>V10+AC10+S10*'Założenia,wskaźniki, listy'!$J$46</f>
        <v>0</v>
      </c>
      <c r="AP10" s="639">
        <f t="shared" si="26"/>
        <v>0</v>
      </c>
      <c r="AQ10" s="639">
        <f t="shared" si="27"/>
        <v>0</v>
      </c>
      <c r="AR10" s="639">
        <f t="shared" si="28"/>
        <v>0</v>
      </c>
      <c r="AS10" s="639">
        <f t="shared" si="29"/>
        <v>0</v>
      </c>
      <c r="AT10" s="647"/>
      <c r="AU10" s="647"/>
      <c r="AV10" s="624">
        <f t="shared" si="1"/>
        <v>0</v>
      </c>
      <c r="AW10" s="624" t="b">
        <f t="shared" si="2"/>
        <v>0</v>
      </c>
      <c r="AX10" s="624" t="b">
        <f t="shared" si="3"/>
        <v>0</v>
      </c>
      <c r="AY10" s="624" t="b">
        <f t="shared" si="4"/>
        <v>0</v>
      </c>
      <c r="AZ10" s="624" t="b">
        <f t="shared" si="5"/>
        <v>0</v>
      </c>
      <c r="BA10" s="624" t="b">
        <f t="shared" si="6"/>
        <v>0</v>
      </c>
      <c r="BB10" s="624" t="b">
        <f t="shared" si="7"/>
        <v>0</v>
      </c>
      <c r="BC10" s="624" t="b">
        <f t="shared" si="8"/>
        <v>0</v>
      </c>
      <c r="BD10" s="624" t="b">
        <f t="shared" si="9"/>
        <v>0</v>
      </c>
      <c r="BE10" s="624" t="b">
        <f t="shared" si="10"/>
        <v>0</v>
      </c>
      <c r="BF10" s="624" t="b">
        <f t="shared" si="11"/>
        <v>0</v>
      </c>
      <c r="BG10" s="624" t="b">
        <f t="shared" si="12"/>
        <v>0</v>
      </c>
      <c r="BH10" s="624" t="b">
        <f t="shared" si="13"/>
        <v>0</v>
      </c>
      <c r="BI10" s="624" t="b">
        <f t="shared" si="14"/>
        <v>0</v>
      </c>
      <c r="BJ10" s="624" t="b">
        <f t="shared" si="15"/>
        <v>0</v>
      </c>
      <c r="BK10" s="624" t="b">
        <f t="shared" si="16"/>
        <v>0</v>
      </c>
      <c r="BL10" s="624" t="b">
        <f t="shared" si="17"/>
        <v>0</v>
      </c>
      <c r="BM10" s="624" t="b">
        <f t="shared" si="18"/>
        <v>0</v>
      </c>
      <c r="BN10" s="624" t="b">
        <f t="shared" si="19"/>
        <v>0</v>
      </c>
      <c r="BO10" s="624" t="b">
        <f t="shared" si="20"/>
        <v>0</v>
      </c>
      <c r="BP10" s="624" t="b">
        <f t="shared" si="21"/>
        <v>0</v>
      </c>
      <c r="BQ10" s="624" t="b">
        <f t="shared" si="22"/>
        <v>0</v>
      </c>
    </row>
    <row r="11" spans="1:71">
      <c r="A11" s="1086">
        <v>4</v>
      </c>
      <c r="B11" s="873" t="s">
        <v>21</v>
      </c>
      <c r="C11" s="873" t="s">
        <v>621</v>
      </c>
      <c r="D11" s="636" t="s">
        <v>622</v>
      </c>
      <c r="E11" s="645">
        <v>11</v>
      </c>
      <c r="F11" s="644">
        <v>1956</v>
      </c>
      <c r="G11" s="644">
        <v>70</v>
      </c>
      <c r="H11" s="644"/>
      <c r="I11" s="635"/>
      <c r="J11" s="644">
        <f>IF(F11&lt;=1966,'Założenia,wskaźniki, listy'!$H$4,IF(F11&gt;1966,IF(F11&lt;=1985,'Założenia,wskaźniki, listy'!$H$5,IF(F11&gt;1985,IF(F11&lt;=1992,'Założenia,wskaźniki, listy'!$H$6,IF(F11&gt;1992,IF(F11&lt;=1996,'Założenia,wskaźniki, listy'!$H$7,IF(F11&gt;1996,IF(F11&lt;=2013,'Założenia,wskaźniki, listy'!$H$8)))))))))</f>
        <v>290</v>
      </c>
      <c r="K11" s="864" t="s">
        <v>32</v>
      </c>
      <c r="L11" s="644" t="s">
        <v>8</v>
      </c>
      <c r="M11" s="644">
        <v>1</v>
      </c>
      <c r="N11" s="644"/>
      <c r="O11" s="637">
        <f t="shared" si="23"/>
        <v>33.228999999999999</v>
      </c>
      <c r="P11" s="646">
        <f>IF(K11="kompletna",J11*G11*0.0036*'Założenia,wskaźniki, listy'!$P$9,IF(K11="częściowa",J11*G11*0.0036*'Założenia,wskaźniki, listy'!$P$10,IF(K11="brak",J11*G11*0.0036*'Założenia,wskaźniki, listy'!$P$11,0)))</f>
        <v>43.847999999999999</v>
      </c>
      <c r="Q11" s="638">
        <f>H11*'Założenia,wskaźniki, listy'!$L$15</f>
        <v>0</v>
      </c>
      <c r="R11" s="635">
        <f>IF(L11="węgiel",'Mieszkalne - baza'!M11*'Założenia,wskaźniki, listy'!$B$4,IF(L11="gaz",'Mieszkalne - baza'!M11*'Założenia,wskaźniki, listy'!$B$5,IF(L11="drewno",'Mieszkalne - baza'!M11*'Założenia,wskaźniki, listy'!$B$6,IF(L11="pelet",'Mieszkalne - baza'!M11*'Założenia,wskaźniki, listy'!$B$7,IF(L11="olej opałowy",'Mieszkalne - baza'!M11*'Założenia,wskaźniki, listy'!$B$8,IF(L11="sieć ciepłownicza",0,0))))))</f>
        <v>22.61</v>
      </c>
      <c r="S11" s="1084">
        <v>2.0304000000000002</v>
      </c>
      <c r="T11" s="639">
        <f>IF(L11="węgiel",R11*'Założenia,wskaźniki, listy'!$C$44,IF(L11="gaz",R11*'Założenia,wskaźniki, listy'!$D$44,IF(L11="drewno",R11*'Założenia,wskaźniki, listy'!$E$44,IF(L11="pelet",R11*'Założenia,wskaźniki, listy'!$F$44,IF(L11="olej opałowy",R11*'Założenia,wskaźniki, listy'!$G$44,IF(L11="sieć ciepłownicza",0,IF(L11="prąd",0,0)))))))</f>
        <v>5.0872499999999998E-3</v>
      </c>
      <c r="U11" s="639">
        <f>IF(L11="węgiel",R11*'Założenia,wskaźniki, listy'!$C$45,IF(L11="gaz",R11*'Założenia,wskaźniki, listy'!$D$45,IF(L11="drewno",R11*'Założenia,wskaźniki, listy'!$E$45,IF(L11="pelet",R11*'Założenia,wskaźniki, listy'!$F$45,IF(L11="olej opałowy",R11*'Założenia,wskaźniki, listy'!$G$45,IF(L11="sieć ciepłownicza",0,IF(L11="prąd",0,0)))))))</f>
        <v>4.5446100000000001E-3</v>
      </c>
      <c r="V11" s="639">
        <f>IF(L11="węgiel",R11*'Założenia,wskaźniki, listy'!$C$46,IF(L11="gaz",R11*'Założenia,wskaźniki, listy'!$D$46,IF(L11="drewno",R11*'Założenia,wskaźniki, listy'!$E$46,IF(L11="pelet",R11*'Założenia,wskaźniki, listy'!$F$46,IF(L11="olej opałowy",R11*'Założenia,wskaźniki, listy'!$G$46,IF(L11="sieć ciepłownicza",R11*'Założenia,wskaźniki, listy'!$H$46,IF(L11="prąd",R11*'Założenia,wskaźniki, listy'!$I$46,0)))))))</f>
        <v>2.1194613999999996</v>
      </c>
      <c r="W11" s="639">
        <f>IF(L11="węgiel",R11*'Założenia,wskaźniki, listy'!$C$47,IF(L11="gaz",R11*'Założenia,wskaźniki, listy'!$D$47,IF(L11="drewno",R11*'Założenia,wskaźniki, listy'!$E$47,IF(L11="pelet",R11*'Założenia,wskaźniki, listy'!$F$47,IF(L11="olej opałowy",R11*'Założenia,wskaźniki, listy'!$G$47,IF(L11="sieć ciepłownicza",0,IF(L11="prąd",0,0)))))))</f>
        <v>6.1047000000000002E-6</v>
      </c>
      <c r="X11" s="639">
        <f>IF(L11="węgiel",R11*'Założenia,wskaźniki, listy'!$C$48, IF(L11="gaz",R11*'Założenia,wskaźniki, listy'!$D$48,IF(L11="drewno",R11*'Założenia,wskaźniki, listy'!$E$48,IF(L11="pelet",R11*'Założenia,wskaźniki, listy'!$F$48,IF(L11="olej opałowy",R11*'Założenia,wskaźniki, listy'!$G$48,IF(L11="sieć ciepłownicza",0,IF(L11="prąd",0,0)))))))</f>
        <v>2.0348999999999999E-2</v>
      </c>
      <c r="Y11" s="639">
        <f>IF(L11="węgiel",R11*'Założenia,wskaźniki, listy'!$C$49, IF(L11="gaz",R11*'Założenia,wskaźniki, listy'!$D$49, IF(L11="drewno",R11*'Założenia,wskaźniki, listy'!$E$49,IF(L11="pelet",R11*'Założenia,wskaźniki, listy'!$F$49,IF(L11="olej opałowy",R11*'Założenia,wskaźniki, listy'!$G$49,IF(L11="sieć ciepłownicza",0,IF(L11="prąd",0,0)))))))</f>
        <v>3.5723799999999996E-3</v>
      </c>
      <c r="Z11" s="639">
        <f>IF(L11="węgiel",R11*'Założenia,wskaźniki, listy'!$C$50,IF(L11="gaz",R11*'Założenia,wskaźniki, listy'!$D$50, IF(L11="drewno",R11*'Założenia,wskaźniki, listy'!$E$50,IF(L11="pelet",R11*'Założenia,wskaźniki, listy'!$F$50,IF(L11="pelet",R11*'Założenia,wskaźniki, listy'!$F$50,IF(L11="olej opałowy",R11*'Założenia,wskaźniki, listy'!$G$50,IF(L11="sieć ciepłownicza",0,IF(L11="prąd",0,0))))))))</f>
        <v>4.5482789450156456E-2</v>
      </c>
      <c r="AA11" s="639">
        <f>IF(N11="węgiel",Q11*'Założenia,wskaźniki, listy'!$C$44,IF(N11="gaz",Q11*'Założenia,wskaźniki, listy'!$D$44,IF(N11="drewno",Q11*'Założenia,wskaźniki, listy'!$E$44,IF(N11="pelet",Q11*'Założenia,wskaźniki, listy'!$G$44,IF(N11="olej opałowy",Q11*'Założenia,wskaźniki, listy'!$G$44,IF(N11="sieć ciepłownicza",0,IF(N11="prąd",0,0)))))))</f>
        <v>0</v>
      </c>
      <c r="AB11" s="639">
        <f>IF(N11="węgiel",Q11*'Założenia,wskaźniki, listy'!$C$45,IF(N11="gaz",Q11*'Założenia,wskaźniki, listy'!$D$45,IF(N11="drewno",Q11*'Założenia,wskaźniki, listy'!$E$45,IF(N11="pelet",Q11*'Założenia,wskaźniki, listy'!$G$45,IF(N11="olej opałowy",Q11*'Założenia,wskaźniki, listy'!$G$45,IF(N11="sieć ciepłownicza",0,IF(N11="prąd",0,0)))))))</f>
        <v>0</v>
      </c>
      <c r="AC11" s="639">
        <f>IF(N11="węgiel",Q11*'Założenia,wskaźniki, listy'!$C$46,IF(N11="gaz",Q11*'Założenia,wskaźniki, listy'!$D$46,IF(N11="drewno",Q11*'Założenia,wskaźniki, listy'!$E$46,IF(N11="pelet",Q11*'Założenia,wskaźniki, listy'!$G$46,IF(N11="olej opałowy",Q11*'Założenia,wskaźniki, listy'!$G$46,IF(N11="sieć ciepłownicza",0,IF(N11="prąd",0,0)))))))</f>
        <v>0</v>
      </c>
      <c r="AD11" s="639">
        <f>IF(N11="węgiel",Q11*'Założenia,wskaźniki, listy'!$C$47,IF(N11="gaz",Q11*'Założenia,wskaźniki, listy'!$D$47,IF(N11="drewno",Q11*'Założenia,wskaźniki, listy'!$E$47,IF(N11="pelet",Q11*'Założenia,wskaźniki, listy'!$G$47,IF(N11="olej opałowy",Q11*'Założenia,wskaźniki, listy'!$G$47,IF(N11="sieć ciepłownicza",0,IF(N11="prąd",0,0)))))))</f>
        <v>0</v>
      </c>
      <c r="AE11" s="639">
        <f>IF(N11="węgiel",Q11*'Założenia,wskaźniki, listy'!$C$48,IF(N11="gaz",Q11*'Założenia,wskaźniki, listy'!$D$48,IF(N11="drewno",Q11*'Założenia,wskaźniki, listy'!$E$48,IF(N11="pelet",Q11*'Założenia,wskaźniki, listy'!$G$48,IF(N11="olej opałowy",Q11*'Założenia,wskaźniki, listy'!$G$48,IF(N11="sieć ciepłownicza",0,IF(N11="prąd",0,0)))))))</f>
        <v>0</v>
      </c>
      <c r="AF11" s="639">
        <f>IF(N11="węgiel",Q11*'Założenia,wskaźniki, listy'!$C$49,IF(N11="gaz",Q11*'Założenia,wskaźniki, listy'!$D$49,IF(N11="drewno",Q11*'Założenia,wskaźniki, listy'!$E$49,IF(N11="pelet",Q11*'Założenia,wskaźniki, listy'!$G$49,IF(N11="olej opałowy",Q11*'Założenia,wskaźniki, listy'!$G$49,IF(N11="sieć ciepłownicza",0,IF(N11="prąd",0,0)))))))</f>
        <v>0</v>
      </c>
      <c r="AG11" s="639">
        <f>IF(N11="węgiel",Q11*'Założenia,wskaźniki, listy'!$C$50,IF(N11="gaz",Q11*'Założenia,wskaźniki, listy'!$D$50,IF(N11="drewno",Q11*'Założenia,wskaźniki, listy'!$E$50,IF(N11="pelet",Q11*'Założenia,wskaźniki, listy'!$G$50,IF(N11="olej opałowy",Q11*'Założenia,wskaźniki, listy'!$G$50,IF(N11="sieć ciepłownicza",0,IF(N11="prąd",0,0)))))))</f>
        <v>0</v>
      </c>
      <c r="AH11" s="640">
        <f>IF(L11="węgiel",(P11+R11)/2*'Założenia,wskaźniki, listy'!$C$4,IF(L11="gaz",(P11+R11)/2*'Założenia,wskaźniki, listy'!$C$5,IF(L11="drewno",(P11+R11)/2*'Założenia,wskaźniki, listy'!$C$6,IF(L11="pelet",(P11+R11)/2*'Założenia,wskaźniki, listy'!$C$7,IF(L11="olej opałowy",(P11+R11)/2*'Założenia,wskaźniki, listy'!$C$8,IF(L11="sieć ciepłownicza",(P11+R11)/2*'Założenia,wskaźniki, listy'!$C$9,IF(L11="sieć ciepłownicza",(P11+R11)/2*'Założenia,wskaźniki, listy'!$C$10,)))))))</f>
        <v>1362.3889999999999</v>
      </c>
      <c r="AI11" s="640">
        <f>IF(N11="węgiel",Q11*'Założenia,wskaźniki, listy'!$C$4,IF(N11="gaz",Q11*'Założenia,wskaźniki, listy'!$C$5,IF(N11="drewno",Q11*'Założenia,wskaźniki, listy'!$C$6,IF(N11="pelet",Q11*'Założenia,wskaźniki, listy'!$C$7,IF(N11="olej opałowy",Q11*'Założenia,wskaźniki, listy'!$C$8,IF(N11="sieć ciepłownicza",Q11*'Założenia,wskaźniki, listy'!$C$9,IF(N11="sieć ciepłownicza",Q11*'Założenia,wskaźniki, listy'!$C$10,0)))))))</f>
        <v>0</v>
      </c>
      <c r="AJ11" s="640">
        <f>S11*'Założenia,wskaźniki, listy'!$B$64*1000</f>
        <v>1441.5840000000001</v>
      </c>
      <c r="AK11" s="640">
        <f>(H11+I11)*'Założenia,wskaźniki, listy'!$D$64*12</f>
        <v>0</v>
      </c>
      <c r="AL11" s="640">
        <f>AK11*'Założenia,wskaźniki, listy'!$F$64</f>
        <v>0</v>
      </c>
      <c r="AM11" s="639">
        <f t="shared" si="24"/>
        <v>5.0872499999999998E-3</v>
      </c>
      <c r="AN11" s="639">
        <f t="shared" si="25"/>
        <v>4.5446100000000001E-3</v>
      </c>
      <c r="AO11" s="639">
        <f>V11+AC11+S11*'Założenia,wskaźniki, listy'!$J$46</f>
        <v>3.8077389999999998</v>
      </c>
      <c r="AP11" s="639">
        <f t="shared" si="26"/>
        <v>6.1047000000000002E-6</v>
      </c>
      <c r="AQ11" s="639">
        <f t="shared" si="27"/>
        <v>2.0348999999999999E-2</v>
      </c>
      <c r="AR11" s="639">
        <f t="shared" si="28"/>
        <v>3.5723799999999996E-3</v>
      </c>
      <c r="AS11" s="639">
        <f t="shared" si="29"/>
        <v>4.5482789450156456E-2</v>
      </c>
      <c r="AT11" s="647"/>
      <c r="AU11" s="647"/>
      <c r="AV11" s="624">
        <f t="shared" si="1"/>
        <v>70</v>
      </c>
      <c r="AW11" s="624">
        <f t="shared" si="2"/>
        <v>70</v>
      </c>
      <c r="AX11" s="624" t="b">
        <f t="shared" si="3"/>
        <v>0</v>
      </c>
      <c r="AY11" s="624" t="b">
        <f t="shared" si="4"/>
        <v>0</v>
      </c>
      <c r="AZ11" s="624" t="b">
        <f t="shared" si="5"/>
        <v>0</v>
      </c>
      <c r="BA11" s="624" t="b">
        <f t="shared" si="6"/>
        <v>0</v>
      </c>
      <c r="BB11" s="624" t="b">
        <f t="shared" si="7"/>
        <v>0</v>
      </c>
      <c r="BC11" s="624" t="b">
        <f t="shared" si="8"/>
        <v>0</v>
      </c>
      <c r="BD11" s="624" t="b">
        <f t="shared" si="9"/>
        <v>0</v>
      </c>
      <c r="BE11" s="624" t="b">
        <f t="shared" si="10"/>
        <v>0</v>
      </c>
      <c r="BF11" s="624">
        <f t="shared" si="11"/>
        <v>22.61</v>
      </c>
      <c r="BG11" s="624" t="b">
        <f t="shared" si="12"/>
        <v>0</v>
      </c>
      <c r="BH11" s="624" t="b">
        <f t="shared" si="13"/>
        <v>0</v>
      </c>
      <c r="BI11" s="624" t="b">
        <f t="shared" si="14"/>
        <v>0</v>
      </c>
      <c r="BJ11" s="624" t="b">
        <f t="shared" si="15"/>
        <v>0</v>
      </c>
      <c r="BK11" s="624" t="b">
        <f t="shared" si="16"/>
        <v>0</v>
      </c>
      <c r="BL11" s="624" t="b">
        <f t="shared" si="17"/>
        <v>0</v>
      </c>
      <c r="BM11" s="624" t="b">
        <f t="shared" si="18"/>
        <v>0</v>
      </c>
      <c r="BN11" s="624" t="b">
        <f t="shared" si="19"/>
        <v>0</v>
      </c>
      <c r="BO11" s="624" t="b">
        <f t="shared" si="20"/>
        <v>0</v>
      </c>
      <c r="BP11" s="624" t="b">
        <f t="shared" si="21"/>
        <v>0</v>
      </c>
      <c r="BQ11" s="624" t="b">
        <f t="shared" si="22"/>
        <v>0</v>
      </c>
    </row>
    <row r="12" spans="1:71" ht="6.75" customHeight="1">
      <c r="A12" s="1086"/>
      <c r="B12" s="872"/>
      <c r="C12" s="872"/>
      <c r="D12" s="645"/>
      <c r="E12" s="645"/>
      <c r="F12" s="644"/>
      <c r="G12" s="644"/>
      <c r="H12" s="644"/>
      <c r="I12" s="635"/>
      <c r="J12" s="644">
        <f>IF(F12&lt;=1966,'Założenia,wskaźniki, listy'!$H$4,IF(F12&gt;1966,IF(F12&lt;=1985,'Założenia,wskaźniki, listy'!$H$5,IF(F12&gt;1985,IF(F12&lt;=1992,'Założenia,wskaźniki, listy'!$H$6,IF(F12&gt;1992,IF(F12&lt;=1996,'Założenia,wskaźniki, listy'!$H$7,IF(F12&gt;1996,IF(F12&lt;=2013,'Założenia,wskaźniki, listy'!$H$8)))))))))</f>
        <v>290</v>
      </c>
      <c r="K12" s="644"/>
      <c r="L12" s="644" t="s">
        <v>79</v>
      </c>
      <c r="M12" s="644">
        <v>1</v>
      </c>
      <c r="N12" s="644"/>
      <c r="O12" s="637">
        <f t="shared" ref="O12" si="37">IF(P12&gt;0,(Q12+R12+P12)/2,Q12+R12)</f>
        <v>15</v>
      </c>
      <c r="P12" s="646">
        <f>IF(K12="kompletna",J12*G12*0.0036*'Założenia,wskaźniki, listy'!$P$9,IF(K12="częściowa",J12*G12*0.0036*'Założenia,wskaźniki, listy'!$P$10,IF(K12="brak",J12*G12*0.0036*'Założenia,wskaźniki, listy'!$P$11,0)))</f>
        <v>0</v>
      </c>
      <c r="Q12" s="638">
        <f>H12*'Założenia,wskaźniki, listy'!$L$15</f>
        <v>0</v>
      </c>
      <c r="R12" s="635">
        <f>IF(L12="węgiel",'Mieszkalne - baza'!M12*'Założenia,wskaźniki, listy'!$B$4,IF(L12="gaz",'Mieszkalne - baza'!M12*'Założenia,wskaźniki, listy'!$B$5,IF(L12="drewno",'Mieszkalne - baza'!M12*'Założenia,wskaźniki, listy'!$B$6,IF(L12="pelet",'Mieszkalne - baza'!M12*'Założenia,wskaźniki, listy'!$B$7,IF(L12="olej opałowy",'Mieszkalne - baza'!M12*'Założenia,wskaźniki, listy'!$B$8,IF(L12="sieć ciepłownicza",0,0))))))</f>
        <v>15</v>
      </c>
      <c r="S12" s="1085"/>
      <c r="T12" s="639">
        <f>IF(L12="węgiel",R12*'Założenia,wskaźniki, listy'!$C$44,IF(L12="gaz",R12*'Założenia,wskaźniki, listy'!$D$44,IF(L12="drewno",R12*'Założenia,wskaźniki, listy'!$E$44,IF(L12="pelet",R12*'Założenia,wskaźniki, listy'!$F$44,IF(L12="olej opałowy",R12*'Założenia,wskaźniki, listy'!$G$44,IF(L12="sieć ciepłownicza",0,IF(L12="prąd",0,0)))))))</f>
        <v>7.1999999999999998E-3</v>
      </c>
      <c r="U12" s="639">
        <f>IF(L12="węgiel",R12*'Założenia,wskaźniki, listy'!$C$45,IF(L12="gaz",R12*'Założenia,wskaźniki, listy'!$D$45,IF(L12="drewno",R12*'Założenia,wskaźniki, listy'!$E$45,IF(L12="pelet",R12*'Założenia,wskaźniki, listy'!$F$45,IF(L12="olej opałowy",R12*'Założenia,wskaźniki, listy'!$G$45,IF(L12="sieć ciepłownicza",0,IF(L12="prąd",0,0)))))))</f>
        <v>7.0499999999999998E-3</v>
      </c>
      <c r="V12" s="639">
        <f>IF(L12="węgiel",R12*'Założenia,wskaźniki, listy'!$C$46,IF(L12="gaz",R12*'Założenia,wskaźniki, listy'!$D$46,IF(L12="drewno",R12*'Założenia,wskaźniki, listy'!$E$46,IF(L12="pelet",R12*'Założenia,wskaźniki, listy'!$F$46,IF(L12="olej opałowy",R12*'Założenia,wskaźniki, listy'!$G$46,IF(L12="sieć ciepłownicza",R12*'Założenia,wskaźniki, listy'!$H$46,IF(L12="prąd",R12*'Założenia,wskaźniki, listy'!$I$46,0)))))))</f>
        <v>0</v>
      </c>
      <c r="W12" s="639">
        <f>IF(L12="węgiel",R12*'Założenia,wskaźniki, listy'!$C$47,IF(L12="gaz",R12*'Założenia,wskaźniki, listy'!$D$47,IF(L12="drewno",R12*'Założenia,wskaźniki, listy'!$E$47,IF(L12="pelet",R12*'Założenia,wskaźniki, listy'!$F$47,IF(L12="olej opałowy",R12*'Założenia,wskaźniki, listy'!$G$47,IF(L12="sieć ciepłownicza",0,IF(L12="prąd",0,0)))))))</f>
        <v>1.8150000000000002E-6</v>
      </c>
      <c r="X12" s="639">
        <f>IF(L12="węgiel",R12*'Założenia,wskaźniki, listy'!$C$48, IF(L12="gaz",R12*'Założenia,wskaźniki, listy'!$D$48,IF(L12="drewno",R12*'Założenia,wskaźniki, listy'!$E$48,IF(L12="pelet",R12*'Założenia,wskaźniki, listy'!$F$48,IF(L12="olej opałowy",R12*'Założenia,wskaźniki, listy'!$G$48,IF(L12="sieć ciepłownicza",0,IF(L12="prąd",0,0)))))))</f>
        <v>1.65E-4</v>
      </c>
      <c r="Y12" s="639">
        <f>IF(L12="węgiel",R12*'Założenia,wskaźniki, listy'!$C$49, IF(L12="gaz",R12*'Założenia,wskaźniki, listy'!$D$49, IF(L12="drewno",R12*'Założenia,wskaźniki, listy'!$E$49,IF(L12="pelet",R12*'Założenia,wskaźniki, listy'!$F$49,IF(L12="olej opałowy",R12*'Założenia,wskaźniki, listy'!$G$49,IF(L12="sieć ciepłownicza",0,IF(L12="prąd",0,0)))))))</f>
        <v>1.2000000000000001E-3</v>
      </c>
      <c r="Z12" s="639">
        <f>IF(L12="węgiel",R12*'Założenia,wskaźniki, listy'!$C$50,IF(L12="gaz",R12*'Założenia,wskaźniki, listy'!$D$50, IF(L12="drewno",R12*'Założenia,wskaźniki, listy'!$E$50,IF(L12="pelet",R12*'Założenia,wskaźniki, listy'!$F$50,IF(L12="pelet",R12*'Założenia,wskaźniki, listy'!$F$50,IF(L12="olej opałowy",R12*'Założenia,wskaźniki, listy'!$G$50,IF(L12="sieć ciepłownicza",0,IF(L12="prąd",0,0))))))))</f>
        <v>2.6909999999999998E-3</v>
      </c>
      <c r="AA12" s="639">
        <f>IF(N12="węgiel",Q12*'Założenia,wskaźniki, listy'!$C$44,IF(N12="gaz",Q12*'Założenia,wskaźniki, listy'!$D$44,IF(N12="drewno",Q12*'Założenia,wskaźniki, listy'!$E$44,IF(N12="pelet",Q12*'Założenia,wskaźniki, listy'!$G$44,IF(N12="olej opałowy",Q12*'Założenia,wskaźniki, listy'!$G$44,IF(N12="sieć ciepłownicza",0,IF(N12="prąd",0,0)))))))</f>
        <v>0</v>
      </c>
      <c r="AB12" s="639">
        <f>IF(N12="węgiel",Q12*'Założenia,wskaźniki, listy'!$C$45,IF(N12="gaz",Q12*'Założenia,wskaźniki, listy'!$D$45,IF(N12="drewno",Q12*'Założenia,wskaźniki, listy'!$E$45,IF(N12="pelet",Q12*'Założenia,wskaźniki, listy'!$G$45,IF(N12="olej opałowy",Q12*'Założenia,wskaźniki, listy'!$G$45,IF(N12="sieć ciepłownicza",0,IF(N12="prąd",0,0)))))))</f>
        <v>0</v>
      </c>
      <c r="AC12" s="639">
        <f>IF(N12="węgiel",Q12*'Założenia,wskaźniki, listy'!$C$46,IF(N12="gaz",Q12*'Założenia,wskaźniki, listy'!$D$46,IF(N12="drewno",Q12*'Założenia,wskaźniki, listy'!$E$46,IF(N12="pelet",Q12*'Założenia,wskaźniki, listy'!$G$46,IF(N12="olej opałowy",Q12*'Założenia,wskaźniki, listy'!$G$46,IF(N12="sieć ciepłownicza",0,IF(N12="prąd",0,0)))))))</f>
        <v>0</v>
      </c>
      <c r="AD12" s="639">
        <f>IF(N12="węgiel",Q12*'Założenia,wskaźniki, listy'!$C$47,IF(N12="gaz",Q12*'Założenia,wskaźniki, listy'!$D$47,IF(N12="drewno",Q12*'Założenia,wskaźniki, listy'!$E$47,IF(N12="pelet",Q12*'Założenia,wskaźniki, listy'!$G$47,IF(N12="olej opałowy",Q12*'Założenia,wskaźniki, listy'!$G$47,IF(N12="sieć ciepłownicza",0,IF(N12="prąd",0,0)))))))</f>
        <v>0</v>
      </c>
      <c r="AE12" s="639">
        <f>IF(N12="węgiel",Q12*'Założenia,wskaźniki, listy'!$C$48,IF(N12="gaz",Q12*'Założenia,wskaźniki, listy'!$D$48,IF(N12="drewno",Q12*'Założenia,wskaźniki, listy'!$E$48,IF(N12="pelet",Q12*'Założenia,wskaźniki, listy'!$G$48,IF(N12="olej opałowy",Q12*'Założenia,wskaźniki, listy'!$G$48,IF(N12="sieć ciepłownicza",0,IF(N12="prąd",0,0)))))))</f>
        <v>0</v>
      </c>
      <c r="AF12" s="639">
        <f>IF(N12="węgiel",Q12*'Założenia,wskaźniki, listy'!$C$49,IF(N12="gaz",Q12*'Założenia,wskaźniki, listy'!$D$49,IF(N12="drewno",Q12*'Założenia,wskaźniki, listy'!$E$49,IF(N12="pelet",Q12*'Założenia,wskaźniki, listy'!$G$49,IF(N12="olej opałowy",Q12*'Założenia,wskaźniki, listy'!$G$49,IF(N12="sieć ciepłownicza",0,IF(N12="prąd",0,0)))))))</f>
        <v>0</v>
      </c>
      <c r="AG12" s="639">
        <f>IF(N12="węgiel",Q12*'Założenia,wskaźniki, listy'!$C$50,IF(N12="gaz",Q12*'Założenia,wskaźniki, listy'!$D$50,IF(N12="drewno",Q12*'Założenia,wskaźniki, listy'!$E$50,IF(N12="pelet",Q12*'Założenia,wskaźniki, listy'!$G$50,IF(N12="olej opałowy",Q12*'Założenia,wskaźniki, listy'!$G$50,IF(N12="sieć ciepłownicza",0,IF(N12="prąd",0,0)))))))</f>
        <v>0</v>
      </c>
      <c r="AH12" s="640">
        <f>IF(L12="węgiel",(P12+R12)/2*'Założenia,wskaźniki, listy'!$C$4,IF(L12="gaz",(P12+R12)/2*'Założenia,wskaźniki, listy'!$C$5,IF(L12="drewno",(P12+R12)/2*'Założenia,wskaźniki, listy'!$C$6,IF(L12="pelet",(P12+R12)/2*'Założenia,wskaźniki, listy'!$C$7,IF(L12="olej opałowy",(P12+R12)/2*'Założenia,wskaźniki, listy'!$C$8,IF(L12="sieć ciepłownicza",(P12+R12)/2*'Założenia,wskaźniki, listy'!$C$9,IF(L12="sieć ciepłownicza",(P12+R12)/2*'Założenia,wskaźniki, listy'!$C$10,)))))))</f>
        <v>285</v>
      </c>
      <c r="AI12" s="640">
        <f>IF(N12="węgiel",Q12*'Założenia,wskaźniki, listy'!$C$4,IF(N12="gaz",Q12*'Założenia,wskaźniki, listy'!$C$5,IF(N12="drewno",Q12*'Założenia,wskaźniki, listy'!$C$6,IF(N12="pelet",Q12*'Założenia,wskaźniki, listy'!$C$7,IF(N12="olej opałowy",Q12*'Założenia,wskaźniki, listy'!$C$8,IF(N12="sieć ciepłownicza",Q12*'Założenia,wskaźniki, listy'!$C$9,IF(N12="sieć ciepłownicza",Q12*'Założenia,wskaźniki, listy'!$C$10,0)))))))</f>
        <v>0</v>
      </c>
      <c r="AJ12" s="640">
        <f>S12*'Założenia,wskaźniki, listy'!$B$64*1000</f>
        <v>0</v>
      </c>
      <c r="AK12" s="640">
        <f>(H12+I12)*'Założenia,wskaźniki, listy'!$D$64*12</f>
        <v>0</v>
      </c>
      <c r="AL12" s="640">
        <f>AK12*'Założenia,wskaźniki, listy'!$F$64</f>
        <v>0</v>
      </c>
      <c r="AM12" s="639">
        <f t="shared" si="24"/>
        <v>7.1999999999999998E-3</v>
      </c>
      <c r="AN12" s="639">
        <f t="shared" si="25"/>
        <v>7.0499999999999998E-3</v>
      </c>
      <c r="AO12" s="639">
        <f>V12+AC12+S12*'Założenia,wskaźniki, listy'!$J$46</f>
        <v>0</v>
      </c>
      <c r="AP12" s="639">
        <f t="shared" si="26"/>
        <v>1.8150000000000002E-6</v>
      </c>
      <c r="AQ12" s="639">
        <f t="shared" si="27"/>
        <v>1.65E-4</v>
      </c>
      <c r="AR12" s="639">
        <f t="shared" si="28"/>
        <v>1.2000000000000001E-3</v>
      </c>
      <c r="AS12" s="639">
        <f t="shared" si="29"/>
        <v>2.6909999999999998E-3</v>
      </c>
      <c r="AT12" s="647"/>
      <c r="AU12" s="647"/>
      <c r="AV12" s="624">
        <f t="shared" si="1"/>
        <v>0</v>
      </c>
      <c r="AW12" s="624" t="b">
        <f t="shared" si="2"/>
        <v>0</v>
      </c>
      <c r="AX12" s="624" t="b">
        <f t="shared" si="3"/>
        <v>0</v>
      </c>
      <c r="AY12" s="624" t="b">
        <f t="shared" si="4"/>
        <v>0</v>
      </c>
      <c r="AZ12" s="624" t="b">
        <f t="shared" si="5"/>
        <v>0</v>
      </c>
      <c r="BA12" s="624" t="b">
        <f t="shared" si="6"/>
        <v>0</v>
      </c>
      <c r="BB12" s="624" t="b">
        <f t="shared" si="7"/>
        <v>0</v>
      </c>
      <c r="BC12" s="624" t="b">
        <f t="shared" si="8"/>
        <v>0</v>
      </c>
      <c r="BD12" s="624" t="b">
        <f t="shared" si="9"/>
        <v>0</v>
      </c>
      <c r="BE12" s="624" t="b">
        <f t="shared" si="10"/>
        <v>0</v>
      </c>
      <c r="BF12" s="624" t="b">
        <f t="shared" si="11"/>
        <v>0</v>
      </c>
      <c r="BG12" s="624" t="b">
        <f t="shared" si="12"/>
        <v>0</v>
      </c>
      <c r="BH12" s="624">
        <f t="shared" si="13"/>
        <v>15</v>
      </c>
      <c r="BI12" s="624" t="b">
        <f t="shared" si="14"/>
        <v>0</v>
      </c>
      <c r="BJ12" s="624" t="b">
        <f t="shared" si="15"/>
        <v>0</v>
      </c>
      <c r="BK12" s="624" t="b">
        <f t="shared" si="16"/>
        <v>0</v>
      </c>
      <c r="BL12" s="624" t="b">
        <f t="shared" si="17"/>
        <v>0</v>
      </c>
      <c r="BM12" s="624" t="b">
        <f t="shared" si="18"/>
        <v>0</v>
      </c>
      <c r="BN12" s="624" t="b">
        <f t="shared" si="19"/>
        <v>0</v>
      </c>
      <c r="BO12" s="624" t="b">
        <f t="shared" si="20"/>
        <v>0</v>
      </c>
      <c r="BP12" s="624" t="b">
        <f t="shared" si="21"/>
        <v>0</v>
      </c>
      <c r="BQ12" s="624" t="b">
        <f t="shared" si="22"/>
        <v>0</v>
      </c>
    </row>
    <row r="13" spans="1:71">
      <c r="A13" s="1086">
        <v>5</v>
      </c>
      <c r="B13" s="873" t="s">
        <v>21</v>
      </c>
      <c r="C13" s="873" t="s">
        <v>621</v>
      </c>
      <c r="D13" s="636" t="s">
        <v>622</v>
      </c>
      <c r="E13" s="645">
        <v>20</v>
      </c>
      <c r="F13" s="644">
        <v>1990</v>
      </c>
      <c r="G13" s="644">
        <v>160</v>
      </c>
      <c r="H13" s="644"/>
      <c r="I13" s="635"/>
      <c r="J13" s="644">
        <f>IF(F13&lt;=1966,'Założenia,wskaźniki, listy'!$H$4,IF(F13&gt;1966,IF(F13&lt;=1985,'Założenia,wskaźniki, listy'!$H$5,IF(F13&gt;1985,IF(F13&lt;=1992,'Założenia,wskaźniki, listy'!$H$6,IF(F13&gt;1992,IF(F13&lt;=1996,'Założenia,wskaźniki, listy'!$H$7,IF(F13&gt;1996,IF(F13&lt;=2013,'Założenia,wskaźniki, listy'!$H$8)))))))))</f>
        <v>175</v>
      </c>
      <c r="K13" s="864" t="s">
        <v>31</v>
      </c>
      <c r="L13" s="644" t="s">
        <v>8</v>
      </c>
      <c r="M13" s="635">
        <v>4</v>
      </c>
      <c r="N13" s="644"/>
      <c r="O13" s="637">
        <f t="shared" si="23"/>
        <v>95.62</v>
      </c>
      <c r="P13" s="646">
        <f>IF(K13="kompletna",J13*G13*0.0036*'Założenia,wskaźniki, listy'!$P$9,IF(K13="częściowa",J13*G13*0.0036*'Założenia,wskaźniki, listy'!$P$10,IF(K13="brak",J13*G13*0.0036*'Założenia,wskaźniki, listy'!$P$11,0)))</f>
        <v>100.8</v>
      </c>
      <c r="Q13" s="638">
        <f>H13*'Założenia,wskaźniki, listy'!$L$15</f>
        <v>0</v>
      </c>
      <c r="R13" s="635">
        <f>IF(L13="węgiel",'Mieszkalne - baza'!M13*'Założenia,wskaźniki, listy'!$B$4,IF(L13="gaz",'Mieszkalne - baza'!M13*'Założenia,wskaźniki, listy'!$B$5,IF(L13="drewno",'Mieszkalne - baza'!M13*'Założenia,wskaźniki, listy'!$B$6,IF(L13="pelet",'Mieszkalne - baza'!M13*'Założenia,wskaźniki, listy'!$B$7,IF(L13="olej opałowy",'Mieszkalne - baza'!M13*'Założenia,wskaźniki, listy'!$B$8,IF(L13="sieć ciepłownicza",0,0))))))</f>
        <v>90.44</v>
      </c>
      <c r="S13" s="1084">
        <v>2.2560000000000002</v>
      </c>
      <c r="T13" s="639">
        <f>IF(L13="węgiel",R13*'Założenia,wskaźniki, listy'!$C$44,IF(L13="gaz",R13*'Założenia,wskaźniki, listy'!$D$44,IF(L13="drewno",R13*'Założenia,wskaźniki, listy'!$E$44,IF(L13="pelet",R13*'Założenia,wskaźniki, listy'!$F$44,IF(L13="olej opałowy",R13*'Założenia,wskaźniki, listy'!$G$44,IF(L13="sieć ciepłownicza",0,IF(L13="prąd",0,0)))))))</f>
        <v>2.0348999999999999E-2</v>
      </c>
      <c r="U13" s="639">
        <f>IF(L13="węgiel",R13*'Założenia,wskaźniki, listy'!$C$45,IF(L13="gaz",R13*'Założenia,wskaźniki, listy'!$D$45,IF(L13="drewno",R13*'Założenia,wskaźniki, listy'!$E$45,IF(L13="pelet",R13*'Założenia,wskaźniki, listy'!$F$45,IF(L13="olej opałowy",R13*'Założenia,wskaźniki, listy'!$G$45,IF(L13="sieć ciepłownicza",0,IF(L13="prąd",0,0)))))))</f>
        <v>1.8178440000000001E-2</v>
      </c>
      <c r="V13" s="639">
        <f>IF(L13="węgiel",R13*'Założenia,wskaźniki, listy'!$C$46,IF(L13="gaz",R13*'Założenia,wskaźniki, listy'!$D$46,IF(L13="drewno",R13*'Założenia,wskaźniki, listy'!$E$46,IF(L13="pelet",R13*'Założenia,wskaźniki, listy'!$F$46,IF(L13="olej opałowy",R13*'Założenia,wskaźniki, listy'!$G$46,IF(L13="sieć ciepłownicza",R13*'Założenia,wskaźniki, listy'!$H$46,IF(L13="prąd",R13*'Założenia,wskaźniki, listy'!$I$46,0)))))))</f>
        <v>8.4778455999999984</v>
      </c>
      <c r="W13" s="639">
        <f>IF(L13="węgiel",R13*'Założenia,wskaźniki, listy'!$C$47,IF(L13="gaz",R13*'Założenia,wskaźniki, listy'!$D$47,IF(L13="drewno",R13*'Założenia,wskaźniki, listy'!$E$47,IF(L13="pelet",R13*'Założenia,wskaźniki, listy'!$F$47,IF(L13="olej opałowy",R13*'Założenia,wskaźniki, listy'!$G$47,IF(L13="sieć ciepłownicza",0,IF(L13="prąd",0,0)))))))</f>
        <v>2.4418800000000001E-5</v>
      </c>
      <c r="X13" s="639">
        <f>IF(L13="węgiel",R13*'Założenia,wskaźniki, listy'!$C$48, IF(L13="gaz",R13*'Założenia,wskaźniki, listy'!$D$48,IF(L13="drewno",R13*'Założenia,wskaźniki, listy'!$E$48,IF(L13="pelet",R13*'Założenia,wskaźniki, listy'!$F$48,IF(L13="olej opałowy",R13*'Założenia,wskaźniki, listy'!$G$48,IF(L13="sieć ciepłownicza",0,IF(L13="prąd",0,0)))))))</f>
        <v>8.1395999999999996E-2</v>
      </c>
      <c r="Y13" s="639">
        <f>IF(L13="węgiel",R13*'Założenia,wskaźniki, listy'!$C$49, IF(L13="gaz",R13*'Założenia,wskaźniki, listy'!$D$49, IF(L13="drewno",R13*'Założenia,wskaźniki, listy'!$E$49,IF(L13="pelet",R13*'Założenia,wskaźniki, listy'!$F$49,IF(L13="olej opałowy",R13*'Założenia,wskaźniki, listy'!$G$49,IF(L13="sieć ciepłownicza",0,IF(L13="prąd",0,0)))))))</f>
        <v>1.4289519999999998E-2</v>
      </c>
      <c r="Z13" s="639">
        <f>IF(L13="węgiel",R13*'Założenia,wskaźniki, listy'!$C$50,IF(L13="gaz",R13*'Założenia,wskaźniki, listy'!$D$50, IF(L13="drewno",R13*'Założenia,wskaźniki, listy'!$E$50,IF(L13="pelet",R13*'Założenia,wskaźniki, listy'!$F$50,IF(L13="pelet",R13*'Założenia,wskaźniki, listy'!$F$50,IF(L13="olej opałowy",R13*'Założenia,wskaźniki, listy'!$G$50,IF(L13="sieć ciepłownicza",0,IF(L13="prąd",0,0))))))))</f>
        <v>0.18193115780062583</v>
      </c>
      <c r="AA13" s="639">
        <f>IF(N13="węgiel",Q13*'Założenia,wskaźniki, listy'!$C$44,IF(N13="gaz",Q13*'Założenia,wskaźniki, listy'!$D$44,IF(N13="drewno",Q13*'Założenia,wskaźniki, listy'!$E$44,IF(N13="pelet",Q13*'Założenia,wskaźniki, listy'!$G$44,IF(N13="olej opałowy",Q13*'Założenia,wskaźniki, listy'!$G$44,IF(N13="sieć ciepłownicza",0,IF(N13="prąd",0,0)))))))</f>
        <v>0</v>
      </c>
      <c r="AB13" s="639">
        <f>IF(N13="węgiel",Q13*'Założenia,wskaźniki, listy'!$C$45,IF(N13="gaz",Q13*'Założenia,wskaźniki, listy'!$D$45,IF(N13="drewno",Q13*'Założenia,wskaźniki, listy'!$E$45,IF(N13="pelet",Q13*'Założenia,wskaźniki, listy'!$G$45,IF(N13="olej opałowy",Q13*'Założenia,wskaźniki, listy'!$G$45,IF(N13="sieć ciepłownicza",0,IF(N13="prąd",0,0)))))))</f>
        <v>0</v>
      </c>
      <c r="AC13" s="639">
        <f>IF(N13="węgiel",Q13*'Założenia,wskaźniki, listy'!$C$46,IF(N13="gaz",Q13*'Założenia,wskaźniki, listy'!$D$46,IF(N13="drewno",Q13*'Założenia,wskaźniki, listy'!$E$46,IF(N13="pelet",Q13*'Założenia,wskaźniki, listy'!$G$46,IF(N13="olej opałowy",Q13*'Założenia,wskaźniki, listy'!$G$46,IF(N13="sieć ciepłownicza",0,IF(N13="prąd",0,0)))))))</f>
        <v>0</v>
      </c>
      <c r="AD13" s="639">
        <f>IF(N13="węgiel",Q13*'Założenia,wskaźniki, listy'!$C$47,IF(N13="gaz",Q13*'Założenia,wskaźniki, listy'!$D$47,IF(N13="drewno",Q13*'Założenia,wskaźniki, listy'!$E$47,IF(N13="pelet",Q13*'Założenia,wskaźniki, listy'!$G$47,IF(N13="olej opałowy",Q13*'Założenia,wskaźniki, listy'!$G$47,IF(N13="sieć ciepłownicza",0,IF(N13="prąd",0,0)))))))</f>
        <v>0</v>
      </c>
      <c r="AE13" s="639">
        <f>IF(N13="węgiel",Q13*'Założenia,wskaźniki, listy'!$C$48,IF(N13="gaz",Q13*'Założenia,wskaźniki, listy'!$D$48,IF(N13="drewno",Q13*'Założenia,wskaźniki, listy'!$E$48,IF(N13="pelet",Q13*'Założenia,wskaźniki, listy'!$G$48,IF(N13="olej opałowy",Q13*'Założenia,wskaźniki, listy'!$G$48,IF(N13="sieć ciepłownicza",0,IF(N13="prąd",0,0)))))))</f>
        <v>0</v>
      </c>
      <c r="AF13" s="639">
        <f>IF(N13="węgiel",Q13*'Założenia,wskaźniki, listy'!$C$49,IF(N13="gaz",Q13*'Założenia,wskaźniki, listy'!$D$49,IF(N13="drewno",Q13*'Założenia,wskaźniki, listy'!$E$49,IF(N13="pelet",Q13*'Założenia,wskaźniki, listy'!$G$49,IF(N13="olej opałowy",Q13*'Założenia,wskaźniki, listy'!$G$49,IF(N13="sieć ciepłownicza",0,IF(N13="prąd",0,0)))))))</f>
        <v>0</v>
      </c>
      <c r="AG13" s="639">
        <f>IF(N13="węgiel",Q13*'Założenia,wskaźniki, listy'!$C$50,IF(N13="gaz",Q13*'Założenia,wskaźniki, listy'!$D$50,IF(N13="drewno",Q13*'Założenia,wskaźniki, listy'!$E$50,IF(N13="pelet",Q13*'Założenia,wskaźniki, listy'!$G$50,IF(N13="olej opałowy",Q13*'Założenia,wskaźniki, listy'!$G$50,IF(N13="sieć ciepłownicza",0,IF(N13="prąd",0,0)))))))</f>
        <v>0</v>
      </c>
      <c r="AH13" s="640">
        <f>IF(L13="węgiel",(P13+R13)/2*'Założenia,wskaźniki, listy'!$C$4,IF(L13="gaz",(P13+R13)/2*'Założenia,wskaźniki, listy'!$C$5,IF(L13="drewno",(P13+R13)/2*'Założenia,wskaźniki, listy'!$C$6,IF(L13="pelet",(P13+R13)/2*'Założenia,wskaźniki, listy'!$C$7,IF(L13="olej opałowy",(P13+R13)/2*'Założenia,wskaźniki, listy'!$C$8,IF(L13="sieć ciepłownicza",(P13+R13)/2*'Założenia,wskaźniki, listy'!$C$9,IF(L13="sieć ciepłownicza",(P13+R13)/2*'Założenia,wskaźniki, listy'!$C$10,)))))))</f>
        <v>3920.42</v>
      </c>
      <c r="AI13" s="640">
        <f>IF(N13="węgiel",Q13*'Założenia,wskaźniki, listy'!$C$4,IF(N13="gaz",Q13*'Założenia,wskaźniki, listy'!$C$5,IF(N13="drewno",Q13*'Założenia,wskaźniki, listy'!$C$6,IF(N13="pelet",Q13*'Założenia,wskaźniki, listy'!$C$7,IF(N13="olej opałowy",Q13*'Założenia,wskaźniki, listy'!$C$8,IF(N13="sieć ciepłownicza",Q13*'Założenia,wskaźniki, listy'!$C$9,IF(N13="sieć ciepłownicza",Q13*'Założenia,wskaźniki, listy'!$C$10,0)))))))</f>
        <v>0</v>
      </c>
      <c r="AJ13" s="640">
        <f>S13*'Założenia,wskaźniki, listy'!$B$64*1000</f>
        <v>1601.76</v>
      </c>
      <c r="AK13" s="640">
        <f>(H13+I13)*'Założenia,wskaźniki, listy'!$D$64*12</f>
        <v>0</v>
      </c>
      <c r="AL13" s="640">
        <f>AK13*'Założenia,wskaźniki, listy'!$F$64</f>
        <v>0</v>
      </c>
      <c r="AM13" s="639">
        <f t="shared" si="24"/>
        <v>2.0348999999999999E-2</v>
      </c>
      <c r="AN13" s="639">
        <f t="shared" si="25"/>
        <v>1.8178440000000001E-2</v>
      </c>
      <c r="AO13" s="639">
        <f>V13+AC13+S13*'Założenia,wskaźniki, listy'!$J$46</f>
        <v>10.353709599999998</v>
      </c>
      <c r="AP13" s="639">
        <f t="shared" si="26"/>
        <v>2.4418800000000001E-5</v>
      </c>
      <c r="AQ13" s="639">
        <f t="shared" si="27"/>
        <v>8.1395999999999996E-2</v>
      </c>
      <c r="AR13" s="639">
        <f t="shared" si="28"/>
        <v>1.4289519999999998E-2</v>
      </c>
      <c r="AS13" s="639">
        <f t="shared" si="29"/>
        <v>0.18193115780062583</v>
      </c>
      <c r="AT13" s="647"/>
      <c r="AU13" s="647"/>
      <c r="AV13" s="624" t="b">
        <f t="shared" si="1"/>
        <v>0</v>
      </c>
      <c r="AW13" s="624" t="b">
        <f t="shared" si="2"/>
        <v>0</v>
      </c>
      <c r="AX13" s="624" t="b">
        <f t="shared" si="3"/>
        <v>0</v>
      </c>
      <c r="AY13" s="624" t="b">
        <f t="shared" si="4"/>
        <v>0</v>
      </c>
      <c r="AZ13" s="624">
        <f t="shared" si="5"/>
        <v>160</v>
      </c>
      <c r="BA13" s="624" t="b">
        <f t="shared" si="6"/>
        <v>0</v>
      </c>
      <c r="BB13" s="624" t="b">
        <f t="shared" si="7"/>
        <v>0</v>
      </c>
      <c r="BC13" s="624" t="b">
        <f t="shared" si="8"/>
        <v>0</v>
      </c>
      <c r="BD13" s="624" t="b">
        <f t="shared" si="9"/>
        <v>0</v>
      </c>
      <c r="BE13" s="624" t="b">
        <f t="shared" si="10"/>
        <v>0</v>
      </c>
      <c r="BF13" s="624">
        <f t="shared" si="11"/>
        <v>90.44</v>
      </c>
      <c r="BG13" s="624" t="b">
        <f t="shared" si="12"/>
        <v>0</v>
      </c>
      <c r="BH13" s="624" t="b">
        <f t="shared" si="13"/>
        <v>0</v>
      </c>
      <c r="BI13" s="624" t="b">
        <f t="shared" si="14"/>
        <v>0</v>
      </c>
      <c r="BJ13" s="624" t="b">
        <f t="shared" si="15"/>
        <v>0</v>
      </c>
      <c r="BK13" s="624" t="b">
        <f t="shared" si="16"/>
        <v>0</v>
      </c>
      <c r="BL13" s="624" t="b">
        <f t="shared" si="17"/>
        <v>0</v>
      </c>
      <c r="BM13" s="624" t="b">
        <f t="shared" si="18"/>
        <v>0</v>
      </c>
      <c r="BN13" s="624" t="b">
        <f t="shared" si="19"/>
        <v>0</v>
      </c>
      <c r="BO13" s="624" t="b">
        <f t="shared" si="20"/>
        <v>0</v>
      </c>
      <c r="BP13" s="624" t="b">
        <f t="shared" si="21"/>
        <v>0</v>
      </c>
      <c r="BQ13" s="624" t="b">
        <f t="shared" si="22"/>
        <v>0</v>
      </c>
    </row>
    <row r="14" spans="1:71">
      <c r="A14" s="1086"/>
      <c r="B14" s="872"/>
      <c r="C14" s="872"/>
      <c r="D14" s="645"/>
      <c r="E14" s="645"/>
      <c r="F14" s="644"/>
      <c r="G14" s="644"/>
      <c r="H14" s="644"/>
      <c r="I14" s="635"/>
      <c r="J14" s="644">
        <f>IF(F14&lt;=1966,'Założenia,wskaźniki, listy'!$H$4,IF(F14&gt;1966,IF(F14&lt;=1985,'Założenia,wskaźniki, listy'!$H$5,IF(F14&gt;1985,IF(F14&lt;=1992,'Założenia,wskaźniki, listy'!$H$6,IF(F14&gt;1992,IF(F14&lt;=1996,'Założenia,wskaźniki, listy'!$H$7,IF(F14&gt;1996,IF(F14&lt;=2013,'Założenia,wskaźniki, listy'!$H$8)))))))))</f>
        <v>290</v>
      </c>
      <c r="K14" s="864"/>
      <c r="L14" s="644"/>
      <c r="M14" s="644"/>
      <c r="N14" s="644"/>
      <c r="O14" s="637">
        <f t="shared" ref="O14" si="38">IF(P14&gt;0,(Q14+R14+P14)/2,Q14+R14)</f>
        <v>0</v>
      </c>
      <c r="P14" s="646">
        <f>IF(K14="kompletna",J14*G14*0.0036*'Założenia,wskaźniki, listy'!$P$9,IF(K14="częściowa",J14*G14*0.0036*'Założenia,wskaźniki, listy'!$P$10,IF(K14="brak",J14*G14*0.0036*'Założenia,wskaźniki, listy'!$P$11,0)))</f>
        <v>0</v>
      </c>
      <c r="Q14" s="638">
        <f>H14*'Założenia,wskaźniki, listy'!$L$15</f>
        <v>0</v>
      </c>
      <c r="R14" s="635">
        <f>IF(L14="węgiel",'Mieszkalne - baza'!M14*'Założenia,wskaźniki, listy'!$B$4,IF(L14="gaz",'Mieszkalne - baza'!M14*'Założenia,wskaźniki, listy'!$B$5,IF(L14="drewno",'Mieszkalne - baza'!M14*'Założenia,wskaźniki, listy'!$B$6,IF(L14="pelet",'Mieszkalne - baza'!M14*'Założenia,wskaźniki, listy'!$B$7,IF(L14="olej opałowy",'Mieszkalne - baza'!M14*'Założenia,wskaźniki, listy'!$B$8,IF(L14="sieć ciepłownicza",0,0))))))</f>
        <v>0</v>
      </c>
      <c r="S14" s="1085"/>
      <c r="T14" s="639">
        <f>IF(L14="węgiel",R14*'Założenia,wskaźniki, listy'!$C$44,IF(L14="gaz",R14*'Założenia,wskaźniki, listy'!$D$44,IF(L14="drewno",R14*'Założenia,wskaźniki, listy'!$E$44,IF(L14="pelet",R14*'Założenia,wskaźniki, listy'!$F$44,IF(L14="olej opałowy",R14*'Założenia,wskaźniki, listy'!$G$44,IF(L14="sieć ciepłownicza",0,IF(L14="prąd",0,0)))))))</f>
        <v>0</v>
      </c>
      <c r="U14" s="639">
        <f>IF(L14="węgiel",R14*'Założenia,wskaźniki, listy'!$C$45,IF(L14="gaz",R14*'Założenia,wskaźniki, listy'!$D$45,IF(L14="drewno",R14*'Założenia,wskaźniki, listy'!$E$45,IF(L14="pelet",R14*'Założenia,wskaźniki, listy'!$F$45,IF(L14="olej opałowy",R14*'Założenia,wskaźniki, listy'!$G$45,IF(L14="sieć ciepłownicza",0,IF(L14="prąd",0,0)))))))</f>
        <v>0</v>
      </c>
      <c r="V14" s="639">
        <f>IF(L14="węgiel",R14*'Założenia,wskaźniki, listy'!$C$46,IF(L14="gaz",R14*'Założenia,wskaźniki, listy'!$D$46,IF(L14="drewno",R14*'Założenia,wskaźniki, listy'!$E$46,IF(L14="pelet",R14*'Założenia,wskaźniki, listy'!$F$46,IF(L14="olej opałowy",R14*'Założenia,wskaźniki, listy'!$G$46,IF(L14="sieć ciepłownicza",R14*'Założenia,wskaźniki, listy'!$H$46,IF(L14="prąd",R14*'Założenia,wskaźniki, listy'!$I$46,0)))))))</f>
        <v>0</v>
      </c>
      <c r="W14" s="639">
        <f>IF(L14="węgiel",R14*'Założenia,wskaźniki, listy'!$C$47,IF(L14="gaz",R14*'Założenia,wskaźniki, listy'!$D$47,IF(L14="drewno",R14*'Założenia,wskaźniki, listy'!$E$47,IF(L14="pelet",R14*'Założenia,wskaźniki, listy'!$F$47,IF(L14="olej opałowy",R14*'Założenia,wskaźniki, listy'!$G$47,IF(L14="sieć ciepłownicza",0,IF(L14="prąd",0,0)))))))</f>
        <v>0</v>
      </c>
      <c r="X14" s="639">
        <f>IF(L14="węgiel",R14*'Założenia,wskaźniki, listy'!$C$48, IF(L14="gaz",R14*'Założenia,wskaźniki, listy'!$D$48,IF(L14="drewno",R14*'Założenia,wskaźniki, listy'!$E$48,IF(L14="pelet",R14*'Założenia,wskaźniki, listy'!$F$48,IF(L14="olej opałowy",R14*'Założenia,wskaźniki, listy'!$G$48,IF(L14="sieć ciepłownicza",0,IF(L14="prąd",0,0)))))))</f>
        <v>0</v>
      </c>
      <c r="Y14" s="639">
        <f>IF(L14="węgiel",R14*'Założenia,wskaźniki, listy'!$C$49, IF(L14="gaz",R14*'Założenia,wskaźniki, listy'!$D$49, IF(L14="drewno",R14*'Założenia,wskaźniki, listy'!$E$49,IF(L14="pelet",R14*'Założenia,wskaźniki, listy'!$F$49,IF(L14="olej opałowy",R14*'Założenia,wskaźniki, listy'!$G$49,IF(L14="sieć ciepłownicza",0,IF(L14="prąd",0,0)))))))</f>
        <v>0</v>
      </c>
      <c r="Z14" s="639">
        <f>IF(L14="węgiel",R14*'Założenia,wskaźniki, listy'!$C$50,IF(L14="gaz",R14*'Założenia,wskaźniki, listy'!$D$50, IF(L14="drewno",R14*'Założenia,wskaźniki, listy'!$E$50,IF(L14="pelet",R14*'Założenia,wskaźniki, listy'!$F$50,IF(L14="pelet",R14*'Założenia,wskaźniki, listy'!$F$50,IF(L14="olej opałowy",R14*'Założenia,wskaźniki, listy'!$G$50,IF(L14="sieć ciepłownicza",0,IF(L14="prąd",0,0))))))))</f>
        <v>0</v>
      </c>
      <c r="AA14" s="639">
        <f>IF(N14="węgiel",Q14*'Założenia,wskaźniki, listy'!$C$44,IF(N14="gaz",Q14*'Założenia,wskaźniki, listy'!$D$44,IF(N14="drewno",Q14*'Założenia,wskaźniki, listy'!$E$44,IF(N14="pelet",Q14*'Założenia,wskaźniki, listy'!$G$44,IF(N14="olej opałowy",Q14*'Założenia,wskaźniki, listy'!$G$44,IF(N14="sieć ciepłownicza",0,IF(N14="prąd",0,0)))))))</f>
        <v>0</v>
      </c>
      <c r="AB14" s="639">
        <f>IF(N14="węgiel",Q14*'Założenia,wskaźniki, listy'!$C$45,IF(N14="gaz",Q14*'Założenia,wskaźniki, listy'!$D$45,IF(N14="drewno",Q14*'Założenia,wskaźniki, listy'!$E$45,IF(N14="pelet",Q14*'Założenia,wskaźniki, listy'!$G$45,IF(N14="olej opałowy",Q14*'Założenia,wskaźniki, listy'!$G$45,IF(N14="sieć ciepłownicza",0,IF(N14="prąd",0,0)))))))</f>
        <v>0</v>
      </c>
      <c r="AC14" s="639">
        <f>IF(N14="węgiel",Q14*'Założenia,wskaźniki, listy'!$C$46,IF(N14="gaz",Q14*'Założenia,wskaźniki, listy'!$D$46,IF(N14="drewno",Q14*'Założenia,wskaźniki, listy'!$E$46,IF(N14="pelet",Q14*'Założenia,wskaźniki, listy'!$G$46,IF(N14="olej opałowy",Q14*'Założenia,wskaźniki, listy'!$G$46,IF(N14="sieć ciepłownicza",0,IF(N14="prąd",0,0)))))))</f>
        <v>0</v>
      </c>
      <c r="AD14" s="639">
        <f>IF(N14="węgiel",Q14*'Założenia,wskaźniki, listy'!$C$47,IF(N14="gaz",Q14*'Założenia,wskaźniki, listy'!$D$47,IF(N14="drewno",Q14*'Założenia,wskaźniki, listy'!$E$47,IF(N14="pelet",Q14*'Założenia,wskaźniki, listy'!$G$47,IF(N14="olej opałowy",Q14*'Założenia,wskaźniki, listy'!$G$47,IF(N14="sieć ciepłownicza",0,IF(N14="prąd",0,0)))))))</f>
        <v>0</v>
      </c>
      <c r="AE14" s="639">
        <f>IF(N14="węgiel",Q14*'Założenia,wskaźniki, listy'!$C$48,IF(N14="gaz",Q14*'Założenia,wskaźniki, listy'!$D$48,IF(N14="drewno",Q14*'Założenia,wskaźniki, listy'!$E$48,IF(N14="pelet",Q14*'Założenia,wskaźniki, listy'!$G$48,IF(N14="olej opałowy",Q14*'Założenia,wskaźniki, listy'!$G$48,IF(N14="sieć ciepłownicza",0,IF(N14="prąd",0,0)))))))</f>
        <v>0</v>
      </c>
      <c r="AF14" s="639">
        <f>IF(N14="węgiel",Q14*'Założenia,wskaźniki, listy'!$C$49,IF(N14="gaz",Q14*'Założenia,wskaźniki, listy'!$D$49,IF(N14="drewno",Q14*'Założenia,wskaźniki, listy'!$E$49,IF(N14="pelet",Q14*'Założenia,wskaźniki, listy'!$G$49,IF(N14="olej opałowy",Q14*'Założenia,wskaźniki, listy'!$G$49,IF(N14="sieć ciepłownicza",0,IF(N14="prąd",0,0)))))))</f>
        <v>0</v>
      </c>
      <c r="AG14" s="639">
        <f>IF(N14="węgiel",Q14*'Założenia,wskaźniki, listy'!$C$50,IF(N14="gaz",Q14*'Założenia,wskaźniki, listy'!$D$50,IF(N14="drewno",Q14*'Założenia,wskaźniki, listy'!$E$50,IF(N14="pelet",Q14*'Założenia,wskaźniki, listy'!$G$50,IF(N14="olej opałowy",Q14*'Założenia,wskaźniki, listy'!$G$50,IF(N14="sieć ciepłownicza",0,IF(N14="prąd",0,0)))))))</f>
        <v>0</v>
      </c>
      <c r="AH14" s="640">
        <f>IF(L14="węgiel",(P14+R14)/2*'Założenia,wskaźniki, listy'!$C$4,IF(L14="gaz",(P14+R14)/2*'Założenia,wskaźniki, listy'!$C$5,IF(L14="drewno",(P14+R14)/2*'Założenia,wskaźniki, listy'!$C$6,IF(L14="pelet",(P14+R14)/2*'Założenia,wskaźniki, listy'!$C$7,IF(L14="olej opałowy",(P14+R14)/2*'Założenia,wskaźniki, listy'!$C$8,IF(L14="sieć ciepłownicza",(P14+R14)/2*'Założenia,wskaźniki, listy'!$C$9,IF(L14="sieć ciepłownicza",(P14+R14)/2*'Założenia,wskaźniki, listy'!$C$10,)))))))</f>
        <v>0</v>
      </c>
      <c r="AI14" s="640">
        <f>IF(N14="węgiel",Q14*'Założenia,wskaźniki, listy'!$C$4,IF(N14="gaz",Q14*'Założenia,wskaźniki, listy'!$C$5,IF(N14="drewno",Q14*'Założenia,wskaźniki, listy'!$C$6,IF(N14="pelet",Q14*'Założenia,wskaźniki, listy'!$C$7,IF(N14="olej opałowy",Q14*'Założenia,wskaźniki, listy'!$C$8,IF(N14="sieć ciepłownicza",Q14*'Założenia,wskaźniki, listy'!$C$9,IF(N14="sieć ciepłownicza",Q14*'Założenia,wskaźniki, listy'!$C$10,0)))))))</f>
        <v>0</v>
      </c>
      <c r="AJ14" s="640">
        <f>S14*'Założenia,wskaźniki, listy'!$B$64*1000</f>
        <v>0</v>
      </c>
      <c r="AK14" s="640">
        <f>(H14+I14)*'Założenia,wskaźniki, listy'!$D$64*12</f>
        <v>0</v>
      </c>
      <c r="AL14" s="640">
        <f>AK14*'Założenia,wskaźniki, listy'!$F$64</f>
        <v>0</v>
      </c>
      <c r="AM14" s="639">
        <f t="shared" ref="AM14" si="39">T14+AA14</f>
        <v>0</v>
      </c>
      <c r="AN14" s="639">
        <f t="shared" ref="AN14" si="40">U14+AB14</f>
        <v>0</v>
      </c>
      <c r="AO14" s="639">
        <f>V14+AC14+S14*'Założenia,wskaźniki, listy'!$J$46</f>
        <v>0</v>
      </c>
      <c r="AP14" s="639">
        <f t="shared" ref="AP14" si="41">W14+AD14</f>
        <v>0</v>
      </c>
      <c r="AQ14" s="639">
        <f t="shared" ref="AQ14" si="42">X14+AE14</f>
        <v>0</v>
      </c>
      <c r="AR14" s="639">
        <f t="shared" ref="AR14" si="43">Y14+AF14</f>
        <v>0</v>
      </c>
      <c r="AS14" s="639">
        <f t="shared" ref="AS14" si="44">Z14+AG14</f>
        <v>0</v>
      </c>
      <c r="AT14" s="647"/>
      <c r="AU14" s="647"/>
      <c r="AV14" s="624">
        <f t="shared" si="1"/>
        <v>0</v>
      </c>
      <c r="AW14" s="624" t="b">
        <f t="shared" si="2"/>
        <v>0</v>
      </c>
      <c r="AX14" s="624" t="b">
        <f t="shared" si="3"/>
        <v>0</v>
      </c>
      <c r="AY14" s="624" t="b">
        <f t="shared" si="4"/>
        <v>0</v>
      </c>
      <c r="AZ14" s="624" t="b">
        <f t="shared" si="5"/>
        <v>0</v>
      </c>
      <c r="BA14" s="624" t="b">
        <f t="shared" si="6"/>
        <v>0</v>
      </c>
      <c r="BB14" s="624" t="b">
        <f t="shared" si="7"/>
        <v>0</v>
      </c>
      <c r="BC14" s="624" t="b">
        <f t="shared" si="8"/>
        <v>0</v>
      </c>
      <c r="BD14" s="624" t="b">
        <f t="shared" si="9"/>
        <v>0</v>
      </c>
      <c r="BE14" s="624" t="b">
        <f t="shared" si="10"/>
        <v>0</v>
      </c>
      <c r="BF14" s="624" t="b">
        <f t="shared" si="11"/>
        <v>0</v>
      </c>
      <c r="BG14" s="624" t="b">
        <f t="shared" si="12"/>
        <v>0</v>
      </c>
      <c r="BH14" s="624" t="b">
        <f t="shared" si="13"/>
        <v>0</v>
      </c>
      <c r="BI14" s="624" t="b">
        <f t="shared" si="14"/>
        <v>0</v>
      </c>
      <c r="BJ14" s="624" t="b">
        <f t="shared" si="15"/>
        <v>0</v>
      </c>
      <c r="BK14" s="624" t="b">
        <f t="shared" si="16"/>
        <v>0</v>
      </c>
      <c r="BL14" s="624" t="b">
        <f t="shared" si="17"/>
        <v>0</v>
      </c>
      <c r="BM14" s="624" t="b">
        <f t="shared" si="18"/>
        <v>0</v>
      </c>
      <c r="BN14" s="624" t="b">
        <f t="shared" si="19"/>
        <v>0</v>
      </c>
      <c r="BO14" s="624" t="b">
        <f t="shared" si="20"/>
        <v>0</v>
      </c>
      <c r="BP14" s="624" t="b">
        <f t="shared" si="21"/>
        <v>0</v>
      </c>
      <c r="BQ14" s="624" t="b">
        <f t="shared" si="22"/>
        <v>0</v>
      </c>
    </row>
    <row r="15" spans="1:71" ht="12.75" customHeight="1">
      <c r="A15" s="1086">
        <v>6</v>
      </c>
      <c r="B15" s="873" t="s">
        <v>21</v>
      </c>
      <c r="C15" s="873" t="s">
        <v>621</v>
      </c>
      <c r="D15" s="636" t="s">
        <v>622</v>
      </c>
      <c r="E15" s="645">
        <v>19</v>
      </c>
      <c r="F15" s="644">
        <v>1972</v>
      </c>
      <c r="G15" s="644">
        <v>90</v>
      </c>
      <c r="H15" s="644"/>
      <c r="I15" s="635"/>
      <c r="J15" s="644">
        <f>IF(F15&lt;=1966,'Założenia,wskaźniki, listy'!$H$4,IF(F15&gt;1966,IF(F15&lt;=1985,'Założenia,wskaźniki, listy'!$H$5,IF(F15&gt;1985,IF(F15&lt;=1992,'Założenia,wskaźniki, listy'!$H$6,IF(F15&gt;1992,IF(F15&lt;=1996,'Założenia,wskaźniki, listy'!$H$7,IF(F15&gt;1996,IF(F15&lt;=2013,'Założenia,wskaźniki, listy'!$H$8)))))))))</f>
        <v>250</v>
      </c>
      <c r="K15" s="864" t="s">
        <v>31</v>
      </c>
      <c r="L15" s="644" t="s">
        <v>8</v>
      </c>
      <c r="M15" s="644">
        <v>2.5</v>
      </c>
      <c r="N15" s="644"/>
      <c r="O15" s="637">
        <f t="shared" si="23"/>
        <v>68.762500000000003</v>
      </c>
      <c r="P15" s="646">
        <f>IF(K15="kompletna",J15*G15*0.0036*'Założenia,wskaźniki, listy'!$P$9,IF(K15="częściowa",J15*G15*0.0036*'Założenia,wskaźniki, listy'!$P$10,IF(K15="brak",J15*G15*0.0036*'Założenia,wskaźniki, listy'!$P$11,0)))</f>
        <v>81</v>
      </c>
      <c r="Q15" s="638">
        <f>H15*'Założenia,wskaźniki, listy'!$L$15</f>
        <v>0</v>
      </c>
      <c r="R15" s="635">
        <f>IF(L15="węgiel",'Mieszkalne - baza'!M15*'Założenia,wskaźniki, listy'!$B$4,IF(L15="gaz",'Mieszkalne - baza'!M15*'Założenia,wskaźniki, listy'!$B$5,IF(L15="drewno",'Mieszkalne - baza'!M15*'Założenia,wskaźniki, listy'!$B$6,IF(L15="pelet",'Mieszkalne - baza'!M15*'Założenia,wskaźniki, listy'!$B$7,IF(L15="olej opałowy",'Mieszkalne - baza'!M15*'Założenia,wskaźniki, listy'!$B$8,IF(L15="sieć ciepłownicza",0,0))))))</f>
        <v>56.524999999999999</v>
      </c>
      <c r="S15" s="1084">
        <v>1.6919999999999999</v>
      </c>
      <c r="T15" s="639">
        <f>IF(L15="węgiel",R15*'Założenia,wskaźniki, listy'!$C$44,IF(L15="gaz",R15*'Założenia,wskaźniki, listy'!$D$44,IF(L15="drewno",R15*'Założenia,wskaźniki, listy'!$E$44,IF(L15="pelet",R15*'Założenia,wskaźniki, listy'!$F$44,IF(L15="olej opałowy",R15*'Założenia,wskaźniki, listy'!$G$44,IF(L15="sieć ciepłownicza",0,IF(L15="prąd",0,0)))))))</f>
        <v>1.2718124999999999E-2</v>
      </c>
      <c r="U15" s="639">
        <f>IF(L15="węgiel",R15*'Założenia,wskaźniki, listy'!$C$45,IF(L15="gaz",R15*'Założenia,wskaźniki, listy'!$D$45,IF(L15="drewno",R15*'Założenia,wskaźniki, listy'!$E$45,IF(L15="pelet",R15*'Założenia,wskaźniki, listy'!$F$45,IF(L15="olej opałowy",R15*'Założenia,wskaźniki, listy'!$G$45,IF(L15="sieć ciepłownicza",0,IF(L15="prąd",0,0)))))))</f>
        <v>1.1361525000000001E-2</v>
      </c>
      <c r="V15" s="639">
        <f>IF(L15="węgiel",R15*'Założenia,wskaźniki, listy'!$C$46,IF(L15="gaz",R15*'Założenia,wskaźniki, listy'!$D$46,IF(L15="drewno",R15*'Założenia,wskaźniki, listy'!$E$46,IF(L15="pelet",R15*'Założenia,wskaźniki, listy'!$F$46,IF(L15="olej opałowy",R15*'Założenia,wskaźniki, listy'!$G$46,IF(L15="sieć ciepłownicza",R15*'Założenia,wskaźniki, listy'!$H$46,IF(L15="prąd",R15*'Założenia,wskaźniki, listy'!$I$46,0)))))))</f>
        <v>5.2986534999999995</v>
      </c>
      <c r="W15" s="639">
        <f>IF(L15="węgiel",R15*'Założenia,wskaźniki, listy'!$C$47,IF(L15="gaz",R15*'Założenia,wskaźniki, listy'!$D$47,IF(L15="drewno",R15*'Założenia,wskaźniki, listy'!$E$47,IF(L15="pelet",R15*'Założenia,wskaźniki, listy'!$F$47,IF(L15="olej opałowy",R15*'Założenia,wskaźniki, listy'!$G$47,IF(L15="sieć ciepłownicza",0,IF(L15="prąd",0,0)))))))</f>
        <v>1.526175E-5</v>
      </c>
      <c r="X15" s="639">
        <f>IF(L15="węgiel",R15*'Założenia,wskaźniki, listy'!$C$48, IF(L15="gaz",R15*'Założenia,wskaźniki, listy'!$D$48,IF(L15="drewno",R15*'Założenia,wskaźniki, listy'!$E$48,IF(L15="pelet",R15*'Założenia,wskaźniki, listy'!$F$48,IF(L15="olej opałowy",R15*'Założenia,wskaźniki, listy'!$G$48,IF(L15="sieć ciepłownicza",0,IF(L15="prąd",0,0)))))))</f>
        <v>5.0872499999999994E-2</v>
      </c>
      <c r="Y15" s="639">
        <f>IF(L15="węgiel",R15*'Założenia,wskaźniki, listy'!$C$49, IF(L15="gaz",R15*'Założenia,wskaźniki, listy'!$D$49, IF(L15="drewno",R15*'Założenia,wskaźniki, listy'!$E$49,IF(L15="pelet",R15*'Założenia,wskaźniki, listy'!$F$49,IF(L15="olej opałowy",R15*'Założenia,wskaźniki, listy'!$G$49,IF(L15="sieć ciepłownicza",0,IF(L15="prąd",0,0)))))))</f>
        <v>8.93095E-3</v>
      </c>
      <c r="Z15" s="639">
        <f>IF(L15="węgiel",R15*'Założenia,wskaźniki, listy'!$C$50,IF(L15="gaz",R15*'Założenia,wskaźniki, listy'!$D$50, IF(L15="drewno",R15*'Założenia,wskaźniki, listy'!$E$50,IF(L15="pelet",R15*'Założenia,wskaźniki, listy'!$F$50,IF(L15="pelet",R15*'Założenia,wskaźniki, listy'!$F$50,IF(L15="olej opałowy",R15*'Założenia,wskaźniki, listy'!$G$50,IF(L15="sieć ciepłownicza",0,IF(L15="prąd",0,0))))))))</f>
        <v>0.11370697362539113</v>
      </c>
      <c r="AA15" s="639">
        <f>IF(N15="węgiel",Q15*'Założenia,wskaźniki, listy'!$C$44,IF(N15="gaz",Q15*'Założenia,wskaźniki, listy'!$D$44,IF(N15="drewno",Q15*'Założenia,wskaźniki, listy'!$E$44,IF(N15="pelet",Q15*'Założenia,wskaźniki, listy'!$G$44,IF(N15="olej opałowy",Q15*'Założenia,wskaźniki, listy'!$G$44,IF(N15="sieć ciepłownicza",0,IF(N15="prąd",0,0)))))))</f>
        <v>0</v>
      </c>
      <c r="AB15" s="639">
        <f>IF(N15="węgiel",Q15*'Założenia,wskaźniki, listy'!$C$45,IF(N15="gaz",Q15*'Założenia,wskaźniki, listy'!$D$45,IF(N15="drewno",Q15*'Założenia,wskaźniki, listy'!$E$45,IF(N15="pelet",Q15*'Założenia,wskaźniki, listy'!$G$45,IF(N15="olej opałowy",Q15*'Założenia,wskaźniki, listy'!$G$45,IF(N15="sieć ciepłownicza",0,IF(N15="prąd",0,0)))))))</f>
        <v>0</v>
      </c>
      <c r="AC15" s="639">
        <f>IF(N15="węgiel",Q15*'Założenia,wskaźniki, listy'!$C$46,IF(N15="gaz",Q15*'Założenia,wskaźniki, listy'!$D$46,IF(N15="drewno",Q15*'Założenia,wskaźniki, listy'!$E$46,IF(N15="pelet",Q15*'Założenia,wskaźniki, listy'!$G$46,IF(N15="olej opałowy",Q15*'Założenia,wskaźniki, listy'!$G$46,IF(N15="sieć ciepłownicza",0,IF(N15="prąd",0,0)))))))</f>
        <v>0</v>
      </c>
      <c r="AD15" s="639">
        <f>IF(N15="węgiel",Q15*'Założenia,wskaźniki, listy'!$C$47,IF(N15="gaz",Q15*'Założenia,wskaźniki, listy'!$D$47,IF(N15="drewno",Q15*'Założenia,wskaźniki, listy'!$E$47,IF(N15="pelet",Q15*'Założenia,wskaźniki, listy'!$G$47,IF(N15="olej opałowy",Q15*'Założenia,wskaźniki, listy'!$G$47,IF(N15="sieć ciepłownicza",0,IF(N15="prąd",0,0)))))))</f>
        <v>0</v>
      </c>
      <c r="AE15" s="639">
        <f>IF(N15="węgiel",Q15*'Założenia,wskaźniki, listy'!$C$48,IF(N15="gaz",Q15*'Założenia,wskaźniki, listy'!$D$48,IF(N15="drewno",Q15*'Założenia,wskaźniki, listy'!$E$48,IF(N15="pelet",Q15*'Założenia,wskaźniki, listy'!$G$48,IF(N15="olej opałowy",Q15*'Założenia,wskaźniki, listy'!$G$48,IF(N15="sieć ciepłownicza",0,IF(N15="prąd",0,0)))))))</f>
        <v>0</v>
      </c>
      <c r="AF15" s="639">
        <f>IF(N15="węgiel",Q15*'Założenia,wskaźniki, listy'!$C$49,IF(N15="gaz",Q15*'Założenia,wskaźniki, listy'!$D$49,IF(N15="drewno",Q15*'Założenia,wskaźniki, listy'!$E$49,IF(N15="pelet",Q15*'Założenia,wskaźniki, listy'!$G$49,IF(N15="olej opałowy",Q15*'Założenia,wskaźniki, listy'!$G$49,IF(N15="sieć ciepłownicza",0,IF(N15="prąd",0,0)))))))</f>
        <v>0</v>
      </c>
      <c r="AG15" s="639">
        <f>IF(N15="węgiel",Q15*'Założenia,wskaźniki, listy'!$C$50,IF(N15="gaz",Q15*'Założenia,wskaźniki, listy'!$D$50,IF(N15="drewno",Q15*'Założenia,wskaźniki, listy'!$E$50,IF(N15="pelet",Q15*'Założenia,wskaźniki, listy'!$G$50,IF(N15="olej opałowy",Q15*'Założenia,wskaźniki, listy'!$G$50,IF(N15="sieć ciepłownicza",0,IF(N15="prąd",0,0)))))))</f>
        <v>0</v>
      </c>
      <c r="AH15" s="640">
        <f>IF(L15="węgiel",(P15+R15)/2*'Założenia,wskaźniki, listy'!$C$4,IF(L15="gaz",(P15+R15)/2*'Założenia,wskaźniki, listy'!$C$5,IF(L15="drewno",(P15+R15)/2*'Założenia,wskaźniki, listy'!$C$6,IF(L15="pelet",(P15+R15)/2*'Założenia,wskaźniki, listy'!$C$7,IF(L15="olej opałowy",(P15+R15)/2*'Założenia,wskaźniki, listy'!$C$8,IF(L15="sieć ciepłownicza",(P15+R15)/2*'Założenia,wskaźniki, listy'!$C$9,IF(L15="sieć ciepłownicza",(P15+R15)/2*'Założenia,wskaźniki, listy'!$C$10,)))))))</f>
        <v>2819.2625000000003</v>
      </c>
      <c r="AI15" s="640">
        <f>IF(N15="węgiel",Q15*'Założenia,wskaźniki, listy'!$C$4,IF(N15="gaz",Q15*'Założenia,wskaźniki, listy'!$C$5,IF(N15="drewno",Q15*'Założenia,wskaźniki, listy'!$C$6,IF(N15="pelet",Q15*'Założenia,wskaźniki, listy'!$C$7,IF(N15="olej opałowy",Q15*'Założenia,wskaźniki, listy'!$C$8,IF(N15="sieć ciepłownicza",Q15*'Założenia,wskaźniki, listy'!$C$9,IF(N15="sieć ciepłownicza",Q15*'Założenia,wskaźniki, listy'!$C$10,0)))))))</f>
        <v>0</v>
      </c>
      <c r="AJ15" s="640">
        <f>S15*'Założenia,wskaźniki, listy'!$B$64*1000</f>
        <v>1201.32</v>
      </c>
      <c r="AK15" s="640">
        <f>(H15+I15)*'Założenia,wskaźniki, listy'!$D$64*12</f>
        <v>0</v>
      </c>
      <c r="AL15" s="640">
        <f>AK15*'Założenia,wskaźniki, listy'!$F$64</f>
        <v>0</v>
      </c>
      <c r="AM15" s="639">
        <f t="shared" si="24"/>
        <v>1.2718124999999999E-2</v>
      </c>
      <c r="AN15" s="639">
        <f t="shared" si="25"/>
        <v>1.1361525000000001E-2</v>
      </c>
      <c r="AO15" s="639">
        <f>V15+AC15+S15*'Założenia,wskaźniki, listy'!$J$46</f>
        <v>6.7055514999999994</v>
      </c>
      <c r="AP15" s="639">
        <f t="shared" si="26"/>
        <v>1.526175E-5</v>
      </c>
      <c r="AQ15" s="639">
        <f t="shared" si="27"/>
        <v>5.0872499999999994E-2</v>
      </c>
      <c r="AR15" s="639">
        <f t="shared" si="28"/>
        <v>8.93095E-3</v>
      </c>
      <c r="AS15" s="639">
        <f t="shared" si="29"/>
        <v>0.11370697362539113</v>
      </c>
      <c r="AT15" s="647"/>
      <c r="AU15" s="647"/>
      <c r="AV15" s="624" t="b">
        <f t="shared" si="1"/>
        <v>0</v>
      </c>
      <c r="AW15" s="624" t="b">
        <f t="shared" si="2"/>
        <v>0</v>
      </c>
      <c r="AX15" s="624">
        <f t="shared" si="3"/>
        <v>90</v>
      </c>
      <c r="AY15" s="624" t="b">
        <f t="shared" si="4"/>
        <v>0</v>
      </c>
      <c r="AZ15" s="624" t="b">
        <f t="shared" si="5"/>
        <v>0</v>
      </c>
      <c r="BA15" s="624" t="b">
        <f t="shared" si="6"/>
        <v>0</v>
      </c>
      <c r="BB15" s="624" t="b">
        <f t="shared" si="7"/>
        <v>0</v>
      </c>
      <c r="BC15" s="624" t="b">
        <f t="shared" si="8"/>
        <v>0</v>
      </c>
      <c r="BD15" s="624" t="b">
        <f t="shared" si="9"/>
        <v>0</v>
      </c>
      <c r="BE15" s="624" t="b">
        <f t="shared" si="10"/>
        <v>0</v>
      </c>
      <c r="BF15" s="624">
        <f t="shared" si="11"/>
        <v>56.524999999999999</v>
      </c>
      <c r="BG15" s="624" t="b">
        <f t="shared" si="12"/>
        <v>0</v>
      </c>
      <c r="BH15" s="624" t="b">
        <f t="shared" si="13"/>
        <v>0</v>
      </c>
      <c r="BI15" s="624" t="b">
        <f t="shared" si="14"/>
        <v>0</v>
      </c>
      <c r="BJ15" s="624" t="b">
        <f t="shared" si="15"/>
        <v>0</v>
      </c>
      <c r="BK15" s="624" t="b">
        <f t="shared" si="16"/>
        <v>0</v>
      </c>
      <c r="BL15" s="624" t="b">
        <f t="shared" si="17"/>
        <v>0</v>
      </c>
      <c r="BM15" s="624" t="b">
        <f t="shared" si="18"/>
        <v>0</v>
      </c>
      <c r="BN15" s="624" t="b">
        <f t="shared" si="19"/>
        <v>0</v>
      </c>
      <c r="BO15" s="624" t="b">
        <f t="shared" si="20"/>
        <v>0</v>
      </c>
      <c r="BP15" s="624" t="b">
        <f t="shared" si="21"/>
        <v>0</v>
      </c>
      <c r="BQ15" s="624" t="b">
        <f t="shared" si="22"/>
        <v>0</v>
      </c>
    </row>
    <row r="16" spans="1:71" ht="8.25" customHeight="1">
      <c r="A16" s="1086"/>
      <c r="B16" s="872"/>
      <c r="C16" s="872"/>
      <c r="D16" s="645"/>
      <c r="E16" s="645"/>
      <c r="F16" s="644"/>
      <c r="G16" s="644"/>
      <c r="H16" s="644"/>
      <c r="I16" s="635"/>
      <c r="J16" s="644">
        <f>IF(F16&lt;=1966,'Założenia,wskaźniki, listy'!$H$4,IF(F16&gt;1966,IF(F16&lt;=1985,'Założenia,wskaźniki, listy'!$H$5,IF(F16&gt;1985,IF(F16&lt;=1992,'Założenia,wskaźniki, listy'!$H$6,IF(F16&gt;1992,IF(F16&lt;=1996,'Założenia,wskaźniki, listy'!$H$7,IF(F16&gt;1996,IF(F16&lt;=2013,'Założenia,wskaźniki, listy'!$H$8)))))))))</f>
        <v>290</v>
      </c>
      <c r="K16" s="864"/>
      <c r="L16" s="644" t="s">
        <v>79</v>
      </c>
      <c r="M16" s="644">
        <v>1.5</v>
      </c>
      <c r="N16" s="644"/>
      <c r="O16" s="637">
        <f t="shared" si="23"/>
        <v>22.5</v>
      </c>
      <c r="P16" s="646">
        <f>IF(K16="kompletna",J16*G16*0.0036*'Założenia,wskaźniki, listy'!$P$9,IF(K16="częściowa",J16*G16*0.0036*'Założenia,wskaźniki, listy'!$P$10,IF(K16="brak",J16*G16*0.0036*'Założenia,wskaźniki, listy'!$P$11,0)))</f>
        <v>0</v>
      </c>
      <c r="Q16" s="638">
        <f>H16*'Założenia,wskaźniki, listy'!$L$15</f>
        <v>0</v>
      </c>
      <c r="R16" s="635">
        <f>IF(L16="węgiel",'Mieszkalne - baza'!M16*'Założenia,wskaźniki, listy'!$B$4,IF(L16="gaz",'Mieszkalne - baza'!M16*'Założenia,wskaźniki, listy'!$B$5,IF(L16="drewno",'Mieszkalne - baza'!M16*'Założenia,wskaźniki, listy'!$B$6,IF(L16="pelet",'Mieszkalne - baza'!M16*'Założenia,wskaźniki, listy'!$B$7,IF(L16="olej opałowy",'Mieszkalne - baza'!M16*'Założenia,wskaźniki, listy'!$B$8,IF(L16="sieć ciepłownicza",0,0))))))</f>
        <v>22.5</v>
      </c>
      <c r="S16" s="1085"/>
      <c r="T16" s="639">
        <f>IF(L16="węgiel",R16*'Założenia,wskaźniki, listy'!$C$44,IF(L16="gaz",R16*'Założenia,wskaźniki, listy'!$D$44,IF(L16="drewno",R16*'Założenia,wskaźniki, listy'!$E$44,IF(L16="pelet",R16*'Założenia,wskaźniki, listy'!$F$44,IF(L16="olej opałowy",R16*'Założenia,wskaźniki, listy'!$G$44,IF(L16="sieć ciepłownicza",0,IF(L16="prąd",0,0)))))))</f>
        <v>1.0800000000000001E-2</v>
      </c>
      <c r="U16" s="639">
        <f>IF(L16="węgiel",R16*'Założenia,wskaźniki, listy'!$C$45,IF(L16="gaz",R16*'Założenia,wskaźniki, listy'!$D$45,IF(L16="drewno",R16*'Założenia,wskaźniki, listy'!$E$45,IF(L16="pelet",R16*'Założenia,wskaźniki, listy'!$F$45,IF(L16="olej opałowy",R16*'Założenia,wskaźniki, listy'!$G$45,IF(L16="sieć ciepłownicza",0,IF(L16="prąd",0,0)))))))</f>
        <v>1.0574999999999999E-2</v>
      </c>
      <c r="V16" s="639">
        <f>IF(L16="węgiel",R16*'Założenia,wskaźniki, listy'!$C$46,IF(L16="gaz",R16*'Założenia,wskaźniki, listy'!$D$46,IF(L16="drewno",R16*'Założenia,wskaźniki, listy'!$E$46,IF(L16="pelet",R16*'Założenia,wskaźniki, listy'!$F$46,IF(L16="olej opałowy",R16*'Założenia,wskaźniki, listy'!$G$46,IF(L16="sieć ciepłownicza",R16*'Założenia,wskaźniki, listy'!$H$46,IF(L16="prąd",R16*'Założenia,wskaźniki, listy'!$I$46,0)))))))</f>
        <v>0</v>
      </c>
      <c r="W16" s="639">
        <f>IF(L16="węgiel",R16*'Założenia,wskaźniki, listy'!$C$47,IF(L16="gaz",R16*'Założenia,wskaźniki, listy'!$D$47,IF(L16="drewno",R16*'Założenia,wskaźniki, listy'!$E$47,IF(L16="pelet",R16*'Założenia,wskaźniki, listy'!$F$47,IF(L16="olej opałowy",R16*'Założenia,wskaźniki, listy'!$G$47,IF(L16="sieć ciepłownicza",0,IF(L16="prąd",0,0)))))))</f>
        <v>2.7225000000000002E-6</v>
      </c>
      <c r="X16" s="639">
        <f>IF(L16="węgiel",R16*'Założenia,wskaźniki, listy'!$C$48, IF(L16="gaz",R16*'Założenia,wskaźniki, listy'!$D$48,IF(L16="drewno",R16*'Założenia,wskaźniki, listy'!$E$48,IF(L16="pelet",R16*'Założenia,wskaźniki, listy'!$F$48,IF(L16="olej opałowy",R16*'Założenia,wskaźniki, listy'!$G$48,IF(L16="sieć ciepłownicza",0,IF(L16="prąd",0,0)))))))</f>
        <v>2.475E-4</v>
      </c>
      <c r="Y16" s="639">
        <f>IF(L16="węgiel",R16*'Założenia,wskaźniki, listy'!$C$49, IF(L16="gaz",R16*'Założenia,wskaźniki, listy'!$D$49, IF(L16="drewno",R16*'Założenia,wskaźniki, listy'!$E$49,IF(L16="pelet",R16*'Założenia,wskaźniki, listy'!$F$49,IF(L16="olej opałowy",R16*'Założenia,wskaźniki, listy'!$G$49,IF(L16="sieć ciepłownicza",0,IF(L16="prąd",0,0)))))))</f>
        <v>1.8000000000000002E-3</v>
      </c>
      <c r="Z16" s="639">
        <f>IF(L16="węgiel",R16*'Założenia,wskaźniki, listy'!$C$50,IF(L16="gaz",R16*'Założenia,wskaźniki, listy'!$D$50, IF(L16="drewno",R16*'Założenia,wskaźniki, listy'!$E$50,IF(L16="pelet",R16*'Założenia,wskaźniki, listy'!$F$50,IF(L16="pelet",R16*'Założenia,wskaźniki, listy'!$F$50,IF(L16="olej opałowy",R16*'Założenia,wskaźniki, listy'!$G$50,IF(L16="sieć ciepłownicza",0,IF(L16="prąd",0,0))))))))</f>
        <v>4.0365000000000002E-3</v>
      </c>
      <c r="AA16" s="639">
        <f>IF(N16="węgiel",Q16*'Założenia,wskaźniki, listy'!$C$44,IF(N16="gaz",Q16*'Założenia,wskaźniki, listy'!$D$44,IF(N16="drewno",Q16*'Założenia,wskaźniki, listy'!$E$44,IF(N16="pelet",Q16*'Założenia,wskaźniki, listy'!$G$44,IF(N16="olej opałowy",Q16*'Założenia,wskaźniki, listy'!$G$44,IF(N16="sieć ciepłownicza",0,IF(N16="prąd",0,0)))))))</f>
        <v>0</v>
      </c>
      <c r="AB16" s="639">
        <f>IF(N16="węgiel",Q16*'Założenia,wskaźniki, listy'!$C$45,IF(N16="gaz",Q16*'Założenia,wskaźniki, listy'!$D$45,IF(N16="drewno",Q16*'Założenia,wskaźniki, listy'!$E$45,IF(N16="pelet",Q16*'Założenia,wskaźniki, listy'!$G$45,IF(N16="olej opałowy",Q16*'Założenia,wskaźniki, listy'!$G$45,IF(N16="sieć ciepłownicza",0,IF(N16="prąd",0,0)))))))</f>
        <v>0</v>
      </c>
      <c r="AC16" s="639">
        <f>IF(N16="węgiel",Q16*'Założenia,wskaźniki, listy'!$C$46,IF(N16="gaz",Q16*'Założenia,wskaźniki, listy'!$D$46,IF(N16="drewno",Q16*'Założenia,wskaźniki, listy'!$E$46,IF(N16="pelet",Q16*'Założenia,wskaźniki, listy'!$G$46,IF(N16="olej opałowy",Q16*'Założenia,wskaźniki, listy'!$G$46,IF(N16="sieć ciepłownicza",0,IF(N16="prąd",0,0)))))))</f>
        <v>0</v>
      </c>
      <c r="AD16" s="639">
        <f>IF(N16="węgiel",Q16*'Założenia,wskaźniki, listy'!$C$47,IF(N16="gaz",Q16*'Założenia,wskaźniki, listy'!$D$47,IF(N16="drewno",Q16*'Założenia,wskaźniki, listy'!$E$47,IF(N16="pelet",Q16*'Założenia,wskaźniki, listy'!$G$47,IF(N16="olej opałowy",Q16*'Założenia,wskaźniki, listy'!$G$47,IF(N16="sieć ciepłownicza",0,IF(N16="prąd",0,0)))))))</f>
        <v>0</v>
      </c>
      <c r="AE16" s="639">
        <f>IF(N16="węgiel",Q16*'Założenia,wskaźniki, listy'!$C$48,IF(N16="gaz",Q16*'Założenia,wskaźniki, listy'!$D$48,IF(N16="drewno",Q16*'Założenia,wskaźniki, listy'!$E$48,IF(N16="pelet",Q16*'Założenia,wskaźniki, listy'!$G$48,IF(N16="olej opałowy",Q16*'Założenia,wskaźniki, listy'!$G$48,IF(N16="sieć ciepłownicza",0,IF(N16="prąd",0,0)))))))</f>
        <v>0</v>
      </c>
      <c r="AF16" s="639">
        <f>IF(N16="węgiel",Q16*'Założenia,wskaźniki, listy'!$C$49,IF(N16="gaz",Q16*'Założenia,wskaźniki, listy'!$D$49,IF(N16="drewno",Q16*'Założenia,wskaźniki, listy'!$E$49,IF(N16="pelet",Q16*'Założenia,wskaźniki, listy'!$G$49,IF(N16="olej opałowy",Q16*'Założenia,wskaźniki, listy'!$G$49,IF(N16="sieć ciepłownicza",0,IF(N16="prąd",0,0)))))))</f>
        <v>0</v>
      </c>
      <c r="AG16" s="639">
        <f>IF(N16="węgiel",Q16*'Założenia,wskaźniki, listy'!$C$50,IF(N16="gaz",Q16*'Założenia,wskaźniki, listy'!$D$50,IF(N16="drewno",Q16*'Założenia,wskaźniki, listy'!$E$50,IF(N16="pelet",Q16*'Założenia,wskaźniki, listy'!$G$50,IF(N16="olej opałowy",Q16*'Założenia,wskaźniki, listy'!$G$50,IF(N16="sieć ciepłownicza",0,IF(N16="prąd",0,0)))))))</f>
        <v>0</v>
      </c>
      <c r="AH16" s="640">
        <f>IF(L16="węgiel",(P16+R16)/2*'Założenia,wskaźniki, listy'!$C$4,IF(L16="gaz",(P16+R16)/2*'Założenia,wskaźniki, listy'!$C$5,IF(L16="drewno",(P16+R16)/2*'Założenia,wskaźniki, listy'!$C$6,IF(L16="pelet",(P16+R16)/2*'Założenia,wskaźniki, listy'!$C$7,IF(L16="olej opałowy",(P16+R16)/2*'Założenia,wskaźniki, listy'!$C$8,IF(L16="sieć ciepłownicza",(P16+R16)/2*'Założenia,wskaźniki, listy'!$C$9,IF(L16="sieć ciepłownicza",(P16+R16)/2*'Założenia,wskaźniki, listy'!$C$10,)))))))</f>
        <v>427.5</v>
      </c>
      <c r="AI16" s="640">
        <f>IF(N16="węgiel",Q16*'Założenia,wskaźniki, listy'!$C$4,IF(N16="gaz",Q16*'Założenia,wskaźniki, listy'!$C$5,IF(N16="drewno",Q16*'Założenia,wskaźniki, listy'!$C$6,IF(N16="pelet",Q16*'Założenia,wskaźniki, listy'!$C$7,IF(N16="olej opałowy",Q16*'Założenia,wskaźniki, listy'!$C$8,IF(N16="sieć ciepłownicza",Q16*'Założenia,wskaźniki, listy'!$C$9,IF(N16="sieć ciepłownicza",Q16*'Założenia,wskaźniki, listy'!$C$10,0)))))))</f>
        <v>0</v>
      </c>
      <c r="AJ16" s="640">
        <f>S16*'Założenia,wskaźniki, listy'!$B$64*1000</f>
        <v>0</v>
      </c>
      <c r="AK16" s="640">
        <f>(H16+I16)*'Założenia,wskaźniki, listy'!$D$64*12</f>
        <v>0</v>
      </c>
      <c r="AL16" s="640">
        <f>AK16*'Założenia,wskaźniki, listy'!$F$64</f>
        <v>0</v>
      </c>
      <c r="AM16" s="639">
        <f t="shared" si="24"/>
        <v>1.0800000000000001E-2</v>
      </c>
      <c r="AN16" s="639">
        <f t="shared" si="25"/>
        <v>1.0574999999999999E-2</v>
      </c>
      <c r="AO16" s="639">
        <f>V16+AC16+S16*'Założenia,wskaźniki, listy'!$J$46</f>
        <v>0</v>
      </c>
      <c r="AP16" s="639">
        <f t="shared" si="26"/>
        <v>2.7225000000000002E-6</v>
      </c>
      <c r="AQ16" s="639">
        <f t="shared" si="27"/>
        <v>2.475E-4</v>
      </c>
      <c r="AR16" s="639">
        <f t="shared" si="28"/>
        <v>1.8000000000000002E-3</v>
      </c>
      <c r="AS16" s="639">
        <f t="shared" si="29"/>
        <v>4.0365000000000002E-3</v>
      </c>
      <c r="AT16" s="647"/>
      <c r="AU16" s="647"/>
      <c r="AV16" s="624">
        <f t="shared" si="1"/>
        <v>0</v>
      </c>
      <c r="AW16" s="624" t="b">
        <f t="shared" si="2"/>
        <v>0</v>
      </c>
      <c r="AX16" s="624" t="b">
        <f t="shared" si="3"/>
        <v>0</v>
      </c>
      <c r="AY16" s="624" t="b">
        <f t="shared" si="4"/>
        <v>0</v>
      </c>
      <c r="AZ16" s="624" t="b">
        <f t="shared" si="5"/>
        <v>0</v>
      </c>
      <c r="BA16" s="624" t="b">
        <f t="shared" si="6"/>
        <v>0</v>
      </c>
      <c r="BB16" s="624" t="b">
        <f t="shared" si="7"/>
        <v>0</v>
      </c>
      <c r="BC16" s="624" t="b">
        <f t="shared" si="8"/>
        <v>0</v>
      </c>
      <c r="BD16" s="624" t="b">
        <f t="shared" si="9"/>
        <v>0</v>
      </c>
      <c r="BE16" s="624" t="b">
        <f t="shared" si="10"/>
        <v>0</v>
      </c>
      <c r="BF16" s="624" t="b">
        <f t="shared" si="11"/>
        <v>0</v>
      </c>
      <c r="BG16" s="624" t="b">
        <f t="shared" si="12"/>
        <v>0</v>
      </c>
      <c r="BH16" s="624">
        <f t="shared" si="13"/>
        <v>22.5</v>
      </c>
      <c r="BI16" s="624" t="b">
        <f t="shared" si="14"/>
        <v>0</v>
      </c>
      <c r="BJ16" s="624" t="b">
        <f t="shared" si="15"/>
        <v>0</v>
      </c>
      <c r="BK16" s="624" t="b">
        <f t="shared" si="16"/>
        <v>0</v>
      </c>
      <c r="BL16" s="624" t="b">
        <f t="shared" si="17"/>
        <v>0</v>
      </c>
      <c r="BM16" s="624" t="b">
        <f t="shared" si="18"/>
        <v>0</v>
      </c>
      <c r="BN16" s="624" t="b">
        <f t="shared" si="19"/>
        <v>0</v>
      </c>
      <c r="BO16" s="624" t="b">
        <f t="shared" si="20"/>
        <v>0</v>
      </c>
      <c r="BP16" s="624" t="b">
        <f t="shared" si="21"/>
        <v>0</v>
      </c>
      <c r="BQ16" s="624" t="b">
        <f t="shared" si="22"/>
        <v>0</v>
      </c>
    </row>
    <row r="17" spans="1:69">
      <c r="A17" s="1086">
        <v>7</v>
      </c>
      <c r="B17" s="644" t="s">
        <v>23</v>
      </c>
      <c r="C17" s="873" t="s">
        <v>621</v>
      </c>
      <c r="D17" s="636" t="s">
        <v>622</v>
      </c>
      <c r="E17" s="636">
        <v>9</v>
      </c>
      <c r="F17" s="635">
        <v>1975</v>
      </c>
      <c r="G17" s="635">
        <v>120</v>
      </c>
      <c r="H17" s="644"/>
      <c r="I17" s="635"/>
      <c r="J17" s="644">
        <f>IF(F17&lt;=1966,'Założenia,wskaźniki, listy'!$H$4,IF(F17&gt;1966,IF(F17&lt;=1985,'Założenia,wskaźniki, listy'!$H$5,IF(F17&gt;1985,IF(F17&lt;=1992,'Założenia,wskaźniki, listy'!$H$6,IF(F17&gt;1992,IF(F17&lt;=1996,'Założenia,wskaźniki, listy'!$H$7,IF(F17&gt;1996,IF(F17&lt;=2013,'Założenia,wskaźniki, listy'!$H$8)))))))))</f>
        <v>250</v>
      </c>
      <c r="K17" s="864" t="s">
        <v>32</v>
      </c>
      <c r="L17" s="644" t="s">
        <v>8</v>
      </c>
      <c r="M17" s="644">
        <v>3</v>
      </c>
      <c r="N17" s="644"/>
      <c r="O17" s="637">
        <f t="shared" si="23"/>
        <v>66.314999999999998</v>
      </c>
      <c r="P17" s="646">
        <f>IF(K17="kompletna",J17*G17*0.0036*'Założenia,wskaźniki, listy'!$P$9,IF(K17="częściowa",J17*G17*0.0036*'Założenia,wskaźniki, listy'!$P$10,IF(K17="brak",J17*G17*0.0036*'Założenia,wskaźniki, listy'!$P$11,0)))</f>
        <v>64.8</v>
      </c>
      <c r="Q17" s="638">
        <f>H17*'Założenia,wskaźniki, listy'!$L$15</f>
        <v>0</v>
      </c>
      <c r="R17" s="635">
        <f>IF(L17="węgiel",'Mieszkalne - baza'!M17*'Założenia,wskaźniki, listy'!$B$4,IF(L17="gaz",'Mieszkalne - baza'!M17*'Założenia,wskaźniki, listy'!$B$5,IF(L17="drewno",'Mieszkalne - baza'!M17*'Założenia,wskaźniki, listy'!$B$6,IF(L17="pelet",'Mieszkalne - baza'!M17*'Założenia,wskaźniki, listy'!$B$7,IF(L17="olej opałowy",'Mieszkalne - baza'!M17*'Założenia,wskaźniki, listy'!$B$8,IF(L17="sieć ciepłownicza",0,0))))))</f>
        <v>67.83</v>
      </c>
      <c r="S17" s="1084">
        <v>1.7484000000000002</v>
      </c>
      <c r="T17" s="639">
        <f>IF(L17="węgiel",R17*'Założenia,wskaźniki, listy'!$C$44,IF(L17="gaz",R17*'Założenia,wskaźniki, listy'!$D$44,IF(L17="drewno",R17*'Założenia,wskaźniki, listy'!$E$44,IF(L17="pelet",R17*'Założenia,wskaźniki, listy'!$F$44,IF(L17="olej opałowy",R17*'Założenia,wskaźniki, listy'!$G$44,IF(L17="sieć ciepłownicza",0,IF(L17="prąd",0,0)))))))</f>
        <v>1.5261749999999999E-2</v>
      </c>
      <c r="U17" s="639">
        <f>IF(L17="węgiel",R17*'Założenia,wskaźniki, listy'!$C$45,IF(L17="gaz",R17*'Założenia,wskaźniki, listy'!$D$45,IF(L17="drewno",R17*'Założenia,wskaźniki, listy'!$E$45,IF(L17="pelet",R17*'Założenia,wskaźniki, listy'!$F$45,IF(L17="olej opałowy",R17*'Założenia,wskaźniki, listy'!$G$45,IF(L17="sieć ciepłownicza",0,IF(L17="prąd",0,0)))))))</f>
        <v>1.363383E-2</v>
      </c>
      <c r="V17" s="639">
        <f>IF(L17="węgiel",R17*'Założenia,wskaźniki, listy'!$C$46,IF(L17="gaz",R17*'Założenia,wskaźniki, listy'!$D$46,IF(L17="drewno",R17*'Założenia,wskaźniki, listy'!$E$46,IF(L17="pelet",R17*'Założenia,wskaźniki, listy'!$F$46,IF(L17="olej opałowy",R17*'Założenia,wskaźniki, listy'!$G$46,IF(L17="sieć ciepłownicza",R17*'Założenia,wskaźniki, listy'!$H$46,IF(L17="prąd",R17*'Założenia,wskaźniki, listy'!$I$46,0)))))))</f>
        <v>6.3583841999999988</v>
      </c>
      <c r="W17" s="639">
        <f>IF(L17="węgiel",R17*'Założenia,wskaźniki, listy'!$C$47,IF(L17="gaz",R17*'Założenia,wskaźniki, listy'!$D$47,IF(L17="drewno",R17*'Założenia,wskaźniki, listy'!$E$47,IF(L17="pelet",R17*'Założenia,wskaźniki, listy'!$F$47,IF(L17="olej opałowy",R17*'Założenia,wskaźniki, listy'!$G$47,IF(L17="sieć ciepłownicza",0,IF(L17="prąd",0,0)))))))</f>
        <v>1.8314100000000001E-5</v>
      </c>
      <c r="X17" s="639">
        <f>IF(L17="węgiel",R17*'Założenia,wskaźniki, listy'!$C$48, IF(L17="gaz",R17*'Założenia,wskaźniki, listy'!$D$48,IF(L17="drewno",R17*'Założenia,wskaźniki, listy'!$E$48,IF(L17="pelet",R17*'Założenia,wskaźniki, listy'!$F$48,IF(L17="olej opałowy",R17*'Założenia,wskaźniki, listy'!$G$48,IF(L17="sieć ciepłownicza",0,IF(L17="prąd",0,0)))))))</f>
        <v>6.1046999999999997E-2</v>
      </c>
      <c r="Y17" s="639">
        <f>IF(L17="węgiel",R17*'Założenia,wskaźniki, listy'!$C$49, IF(L17="gaz",R17*'Założenia,wskaźniki, listy'!$D$49, IF(L17="drewno",R17*'Założenia,wskaźniki, listy'!$E$49,IF(L17="pelet",R17*'Założenia,wskaźniki, listy'!$F$49,IF(L17="olej opałowy",R17*'Założenia,wskaźniki, listy'!$G$49,IF(L17="sieć ciepłownicza",0,IF(L17="prąd",0,0)))))))</f>
        <v>1.071714E-2</v>
      </c>
      <c r="Z17" s="639">
        <f>IF(L17="węgiel",R17*'Założenia,wskaźniki, listy'!$C$50,IF(L17="gaz",R17*'Założenia,wskaźniki, listy'!$D$50, IF(L17="drewno",R17*'Założenia,wskaźniki, listy'!$E$50,IF(L17="pelet",R17*'Założenia,wskaźniki, listy'!$F$50,IF(L17="pelet",R17*'Założenia,wskaźniki, listy'!$F$50,IF(L17="olej opałowy",R17*'Założenia,wskaźniki, listy'!$G$50,IF(L17="sieć ciepłownicza",0,IF(L17="prąd",0,0))))))))</f>
        <v>0.13644836835046936</v>
      </c>
      <c r="AA17" s="639">
        <f>IF(N17="węgiel",Q17*'Założenia,wskaźniki, listy'!$C$44,IF(N17="gaz",Q17*'Założenia,wskaźniki, listy'!$D$44,IF(N17="drewno",Q17*'Założenia,wskaźniki, listy'!$E$44,IF(N17="pelet",Q17*'Założenia,wskaźniki, listy'!$G$44,IF(N17="olej opałowy",Q17*'Założenia,wskaźniki, listy'!$G$44,IF(N17="sieć ciepłownicza",0,IF(N17="prąd",0,0)))))))</f>
        <v>0</v>
      </c>
      <c r="AB17" s="639">
        <f>IF(N17="węgiel",Q17*'Założenia,wskaźniki, listy'!$C$45,IF(N17="gaz",Q17*'Założenia,wskaźniki, listy'!$D$45,IF(N17="drewno",Q17*'Założenia,wskaźniki, listy'!$E$45,IF(N17="pelet",Q17*'Założenia,wskaźniki, listy'!$G$45,IF(N17="olej opałowy",Q17*'Założenia,wskaźniki, listy'!$G$45,IF(N17="sieć ciepłownicza",0,IF(N17="prąd",0,0)))))))</f>
        <v>0</v>
      </c>
      <c r="AC17" s="639">
        <f>IF(N17="węgiel",Q17*'Założenia,wskaźniki, listy'!$C$46,IF(N17="gaz",Q17*'Założenia,wskaźniki, listy'!$D$46,IF(N17="drewno",Q17*'Założenia,wskaźniki, listy'!$E$46,IF(N17="pelet",Q17*'Założenia,wskaźniki, listy'!$G$46,IF(N17="olej opałowy",Q17*'Założenia,wskaźniki, listy'!$G$46,IF(N17="sieć ciepłownicza",0,IF(N17="prąd",0,0)))))))</f>
        <v>0</v>
      </c>
      <c r="AD17" s="639">
        <f>IF(N17="węgiel",Q17*'Założenia,wskaźniki, listy'!$C$47,IF(N17="gaz",Q17*'Założenia,wskaźniki, listy'!$D$47,IF(N17="drewno",Q17*'Założenia,wskaźniki, listy'!$E$47,IF(N17="pelet",Q17*'Założenia,wskaźniki, listy'!$G$47,IF(N17="olej opałowy",Q17*'Założenia,wskaźniki, listy'!$G$47,IF(N17="sieć ciepłownicza",0,IF(N17="prąd",0,0)))))))</f>
        <v>0</v>
      </c>
      <c r="AE17" s="639">
        <f>IF(N17="węgiel",Q17*'Założenia,wskaźniki, listy'!$C$48,IF(N17="gaz",Q17*'Założenia,wskaźniki, listy'!$D$48,IF(N17="drewno",Q17*'Założenia,wskaźniki, listy'!$E$48,IF(N17="pelet",Q17*'Założenia,wskaźniki, listy'!$G$48,IF(N17="olej opałowy",Q17*'Założenia,wskaźniki, listy'!$G$48,IF(N17="sieć ciepłownicza",0,IF(N17="prąd",0,0)))))))</f>
        <v>0</v>
      </c>
      <c r="AF17" s="639">
        <f>IF(N17="węgiel",Q17*'Założenia,wskaźniki, listy'!$C$49,IF(N17="gaz",Q17*'Założenia,wskaźniki, listy'!$D$49,IF(N17="drewno",Q17*'Założenia,wskaźniki, listy'!$E$49,IF(N17="pelet",Q17*'Założenia,wskaźniki, listy'!$G$49,IF(N17="olej opałowy",Q17*'Założenia,wskaźniki, listy'!$G$49,IF(N17="sieć ciepłownicza",0,IF(N17="prąd",0,0)))))))</f>
        <v>0</v>
      </c>
      <c r="AG17" s="639">
        <f>IF(N17="węgiel",Q17*'Założenia,wskaźniki, listy'!$C$50,IF(N17="gaz",Q17*'Założenia,wskaźniki, listy'!$D$50,IF(N17="drewno",Q17*'Założenia,wskaźniki, listy'!$E$50,IF(N17="pelet",Q17*'Założenia,wskaźniki, listy'!$G$50,IF(N17="olej opałowy",Q17*'Założenia,wskaźniki, listy'!$G$50,IF(N17="sieć ciepłownicza",0,IF(N17="prąd",0,0)))))))</f>
        <v>0</v>
      </c>
      <c r="AH17" s="640">
        <f>IF(L17="węgiel",(P17+R17)/2*'Założenia,wskaźniki, listy'!$C$4,IF(L17="gaz",(P17+R17)/2*'Założenia,wskaźniki, listy'!$C$5,IF(L17="drewno",(P17+R17)/2*'Założenia,wskaźniki, listy'!$C$6,IF(L17="pelet",(P17+R17)/2*'Założenia,wskaźniki, listy'!$C$7,IF(L17="olej opałowy",(P17+R17)/2*'Założenia,wskaźniki, listy'!$C$8,IF(L17="sieć ciepłownicza",(P17+R17)/2*'Założenia,wskaźniki, listy'!$C$9,IF(L17="sieć ciepłownicza",(P17+R17)/2*'Założenia,wskaźniki, listy'!$C$10,)))))))</f>
        <v>2718.915</v>
      </c>
      <c r="AI17" s="640">
        <f>IF(N17="węgiel",Q17*'Założenia,wskaźniki, listy'!$C$4,IF(N17="gaz",Q17*'Założenia,wskaźniki, listy'!$C$5,IF(N17="drewno",Q17*'Założenia,wskaźniki, listy'!$C$6,IF(N17="pelet",Q17*'Założenia,wskaźniki, listy'!$C$7,IF(N17="olej opałowy",Q17*'Założenia,wskaźniki, listy'!$C$8,IF(N17="sieć ciepłownicza",Q17*'Założenia,wskaźniki, listy'!$C$9,IF(N17="sieć ciepłownicza",Q17*'Założenia,wskaźniki, listy'!$C$10,0)))))))</f>
        <v>0</v>
      </c>
      <c r="AJ17" s="640">
        <f>S17*'Założenia,wskaźniki, listy'!$B$64*1000</f>
        <v>1241.364</v>
      </c>
      <c r="AK17" s="640">
        <f>(H17+I17)*'Założenia,wskaźniki, listy'!$D$64*12</f>
        <v>0</v>
      </c>
      <c r="AL17" s="640">
        <f>AK17*'Założenia,wskaźniki, listy'!$F$64</f>
        <v>0</v>
      </c>
      <c r="AM17" s="639">
        <f t="shared" si="24"/>
        <v>1.5261749999999999E-2</v>
      </c>
      <c r="AN17" s="639">
        <f t="shared" si="25"/>
        <v>1.363383E-2</v>
      </c>
      <c r="AO17" s="639">
        <f>V17+AC17+S17*'Założenia,wskaźniki, listy'!$J$46</f>
        <v>7.812178799999999</v>
      </c>
      <c r="AP17" s="639">
        <f t="shared" si="26"/>
        <v>1.8314100000000001E-5</v>
      </c>
      <c r="AQ17" s="639">
        <f t="shared" si="27"/>
        <v>6.1046999999999997E-2</v>
      </c>
      <c r="AR17" s="639">
        <f t="shared" si="28"/>
        <v>1.071714E-2</v>
      </c>
      <c r="AS17" s="639">
        <f t="shared" si="29"/>
        <v>0.13644836835046936</v>
      </c>
      <c r="AT17" s="647"/>
      <c r="AU17" s="647"/>
      <c r="AV17" s="624" t="b">
        <f t="shared" si="1"/>
        <v>0</v>
      </c>
      <c r="AW17" s="624" t="b">
        <f t="shared" si="2"/>
        <v>0</v>
      </c>
      <c r="AX17" s="624">
        <f t="shared" si="3"/>
        <v>120</v>
      </c>
      <c r="AY17" s="624">
        <f t="shared" si="4"/>
        <v>120</v>
      </c>
      <c r="AZ17" s="624" t="b">
        <f t="shared" si="5"/>
        <v>0</v>
      </c>
      <c r="BA17" s="624" t="b">
        <f t="shared" si="6"/>
        <v>0</v>
      </c>
      <c r="BB17" s="624" t="b">
        <f t="shared" si="7"/>
        <v>0</v>
      </c>
      <c r="BC17" s="624" t="b">
        <f t="shared" si="8"/>
        <v>0</v>
      </c>
      <c r="BD17" s="624" t="b">
        <f t="shared" si="9"/>
        <v>0</v>
      </c>
      <c r="BE17" s="624" t="b">
        <f t="shared" si="10"/>
        <v>0</v>
      </c>
      <c r="BF17" s="624">
        <f t="shared" si="11"/>
        <v>67.83</v>
      </c>
      <c r="BG17" s="624" t="b">
        <f t="shared" si="12"/>
        <v>0</v>
      </c>
      <c r="BH17" s="624" t="b">
        <f t="shared" si="13"/>
        <v>0</v>
      </c>
      <c r="BI17" s="624" t="b">
        <f t="shared" si="14"/>
        <v>0</v>
      </c>
      <c r="BJ17" s="624" t="b">
        <f t="shared" si="15"/>
        <v>0</v>
      </c>
      <c r="BK17" s="624" t="b">
        <f t="shared" si="16"/>
        <v>0</v>
      </c>
      <c r="BL17" s="624" t="b">
        <f t="shared" si="17"/>
        <v>0</v>
      </c>
      <c r="BM17" s="624" t="b">
        <f t="shared" si="18"/>
        <v>0</v>
      </c>
      <c r="BN17" s="624" t="b">
        <f t="shared" si="19"/>
        <v>0</v>
      </c>
      <c r="BO17" s="624" t="b">
        <f t="shared" si="20"/>
        <v>0</v>
      </c>
      <c r="BP17" s="624" t="b">
        <f t="shared" si="21"/>
        <v>0</v>
      </c>
      <c r="BQ17" s="624" t="b">
        <f t="shared" si="22"/>
        <v>0</v>
      </c>
    </row>
    <row r="18" spans="1:69" ht="8.25" customHeight="1">
      <c r="A18" s="1086"/>
      <c r="B18" s="644"/>
      <c r="C18" s="872"/>
      <c r="D18" s="645"/>
      <c r="E18" s="645"/>
      <c r="F18" s="644"/>
      <c r="G18" s="644"/>
      <c r="H18" s="644"/>
      <c r="I18" s="635"/>
      <c r="J18" s="644">
        <f>IF(F18&lt;=1966,'Założenia,wskaźniki, listy'!$H$4,IF(F18&gt;1966,IF(F18&lt;=1985,'Założenia,wskaźniki, listy'!$H$5,IF(F18&gt;1985,IF(F18&lt;=1992,'Założenia,wskaźniki, listy'!$H$6,IF(F18&gt;1992,IF(F18&lt;=1996,'Założenia,wskaźniki, listy'!$H$7,IF(F18&gt;1996,IF(F18&lt;=2013,'Założenia,wskaźniki, listy'!$H$8)))))))))</f>
        <v>290</v>
      </c>
      <c r="K18" s="864"/>
      <c r="L18" s="644"/>
      <c r="M18" s="644"/>
      <c r="N18" s="644"/>
      <c r="O18" s="637">
        <f t="shared" ref="O18" si="45">IF(P18&gt;0,(Q18+R18+P18)/2,Q18+R18)</f>
        <v>0</v>
      </c>
      <c r="P18" s="646">
        <f>IF(K18="kompletna",J18*G18*0.0036*'Założenia,wskaźniki, listy'!$P$9,IF(K18="częściowa",J18*G18*0.0036*'Założenia,wskaźniki, listy'!$P$10,IF(K18="brak",J18*G18*0.0036*'Założenia,wskaźniki, listy'!$P$11,0)))</f>
        <v>0</v>
      </c>
      <c r="Q18" s="638">
        <f>H18*'Założenia,wskaźniki, listy'!$L$15</f>
        <v>0</v>
      </c>
      <c r="R18" s="635">
        <f>IF(L18="węgiel",'Mieszkalne - baza'!M18*'Założenia,wskaźniki, listy'!$B$4,IF(L18="gaz",'Mieszkalne - baza'!M18*'Założenia,wskaźniki, listy'!$B$5,IF(L18="drewno",'Mieszkalne - baza'!M18*'Założenia,wskaźniki, listy'!$B$6,IF(L18="pelet",'Mieszkalne - baza'!M18*'Założenia,wskaźniki, listy'!$B$7,IF(L18="olej opałowy",'Mieszkalne - baza'!M18*'Założenia,wskaźniki, listy'!$B$8,IF(L18="sieć ciepłownicza",0,0))))))</f>
        <v>0</v>
      </c>
      <c r="S18" s="1085"/>
      <c r="T18" s="639">
        <f>IF(L18="węgiel",R18*'Założenia,wskaźniki, listy'!$C$44,IF(L18="gaz",R18*'Założenia,wskaźniki, listy'!$D$44,IF(L18="drewno",R18*'Założenia,wskaźniki, listy'!$E$44,IF(L18="pelet",R18*'Założenia,wskaźniki, listy'!$F$44,IF(L18="olej opałowy",R18*'Założenia,wskaźniki, listy'!$G$44,IF(L18="sieć ciepłownicza",0,IF(L18="prąd",0,0)))))))</f>
        <v>0</v>
      </c>
      <c r="U18" s="639">
        <f>IF(L18="węgiel",R18*'Założenia,wskaźniki, listy'!$C$45,IF(L18="gaz",R18*'Założenia,wskaźniki, listy'!$D$45,IF(L18="drewno",R18*'Założenia,wskaźniki, listy'!$E$45,IF(L18="pelet",R18*'Założenia,wskaźniki, listy'!$F$45,IF(L18="olej opałowy",R18*'Założenia,wskaźniki, listy'!$G$45,IF(L18="sieć ciepłownicza",0,IF(L18="prąd",0,0)))))))</f>
        <v>0</v>
      </c>
      <c r="V18" s="639">
        <f>IF(L18="węgiel",R18*'Założenia,wskaźniki, listy'!$C$46,IF(L18="gaz",R18*'Założenia,wskaźniki, listy'!$D$46,IF(L18="drewno",R18*'Założenia,wskaźniki, listy'!$E$46,IF(L18="pelet",R18*'Założenia,wskaźniki, listy'!$F$46,IF(L18="olej opałowy",R18*'Założenia,wskaźniki, listy'!$G$46,IF(L18="sieć ciepłownicza",R18*'Założenia,wskaźniki, listy'!$H$46,IF(L18="prąd",R18*'Założenia,wskaźniki, listy'!$I$46,0)))))))</f>
        <v>0</v>
      </c>
      <c r="W18" s="639">
        <f>IF(L18="węgiel",R18*'Założenia,wskaźniki, listy'!$C$47,IF(L18="gaz",R18*'Założenia,wskaźniki, listy'!$D$47,IF(L18="drewno",R18*'Założenia,wskaźniki, listy'!$E$47,IF(L18="pelet",R18*'Założenia,wskaźniki, listy'!$F$47,IF(L18="olej opałowy",R18*'Założenia,wskaźniki, listy'!$G$47,IF(L18="sieć ciepłownicza",0,IF(L18="prąd",0,0)))))))</f>
        <v>0</v>
      </c>
      <c r="X18" s="639">
        <f>IF(L18="węgiel",R18*'Założenia,wskaźniki, listy'!$C$48, IF(L18="gaz",R18*'Założenia,wskaźniki, listy'!$D$48,IF(L18="drewno",R18*'Założenia,wskaźniki, listy'!$E$48,IF(L18="pelet",R18*'Założenia,wskaźniki, listy'!$F$48,IF(L18="olej opałowy",R18*'Założenia,wskaźniki, listy'!$G$48,IF(L18="sieć ciepłownicza",0,IF(L18="prąd",0,0)))))))</f>
        <v>0</v>
      </c>
      <c r="Y18" s="639">
        <f>IF(L18="węgiel",R18*'Założenia,wskaźniki, listy'!$C$49, IF(L18="gaz",R18*'Założenia,wskaźniki, listy'!$D$49, IF(L18="drewno",R18*'Założenia,wskaźniki, listy'!$E$49,IF(L18="pelet",R18*'Założenia,wskaźniki, listy'!$F$49,IF(L18="olej opałowy",R18*'Założenia,wskaźniki, listy'!$G$49,IF(L18="sieć ciepłownicza",0,IF(L18="prąd",0,0)))))))</f>
        <v>0</v>
      </c>
      <c r="Z18" s="639">
        <f>IF(L18="węgiel",R18*'Założenia,wskaźniki, listy'!$C$50,IF(L18="gaz",R18*'Założenia,wskaźniki, listy'!$D$50, IF(L18="drewno",R18*'Założenia,wskaźniki, listy'!$E$50,IF(L18="pelet",R18*'Założenia,wskaźniki, listy'!$F$50,IF(L18="pelet",R18*'Założenia,wskaźniki, listy'!$F$50,IF(L18="olej opałowy",R18*'Założenia,wskaźniki, listy'!$G$50,IF(L18="sieć ciepłownicza",0,IF(L18="prąd",0,0))))))))</f>
        <v>0</v>
      </c>
      <c r="AA18" s="639">
        <f>IF(N18="węgiel",Q18*'Założenia,wskaźniki, listy'!$C$44,IF(N18="gaz",Q18*'Założenia,wskaźniki, listy'!$D$44,IF(N18="drewno",Q18*'Założenia,wskaźniki, listy'!$E$44,IF(N18="pelet",Q18*'Założenia,wskaźniki, listy'!$G$44,IF(N18="olej opałowy",Q18*'Założenia,wskaźniki, listy'!$G$44,IF(N18="sieć ciepłownicza",0,IF(N18="prąd",0,0)))))))</f>
        <v>0</v>
      </c>
      <c r="AB18" s="639">
        <f>IF(N18="węgiel",Q18*'Założenia,wskaźniki, listy'!$C$45,IF(N18="gaz",Q18*'Założenia,wskaźniki, listy'!$D$45,IF(N18="drewno",Q18*'Założenia,wskaźniki, listy'!$E$45,IF(N18="pelet",Q18*'Założenia,wskaźniki, listy'!$G$45,IF(N18="olej opałowy",Q18*'Założenia,wskaźniki, listy'!$G$45,IF(N18="sieć ciepłownicza",0,IF(N18="prąd",0,0)))))))</f>
        <v>0</v>
      </c>
      <c r="AC18" s="639">
        <f>IF(N18="węgiel",Q18*'Założenia,wskaźniki, listy'!$C$46,IF(N18="gaz",Q18*'Założenia,wskaźniki, listy'!$D$46,IF(N18="drewno",Q18*'Założenia,wskaźniki, listy'!$E$46,IF(N18="pelet",Q18*'Założenia,wskaźniki, listy'!$G$46,IF(N18="olej opałowy",Q18*'Założenia,wskaźniki, listy'!$G$46,IF(N18="sieć ciepłownicza",0,IF(N18="prąd",0,0)))))))</f>
        <v>0</v>
      </c>
      <c r="AD18" s="639">
        <f>IF(N18="węgiel",Q18*'Założenia,wskaźniki, listy'!$C$47,IF(N18="gaz",Q18*'Założenia,wskaźniki, listy'!$D$47,IF(N18="drewno",Q18*'Założenia,wskaźniki, listy'!$E$47,IF(N18="pelet",Q18*'Założenia,wskaźniki, listy'!$G$47,IF(N18="olej opałowy",Q18*'Założenia,wskaźniki, listy'!$G$47,IF(N18="sieć ciepłownicza",0,IF(N18="prąd",0,0)))))))</f>
        <v>0</v>
      </c>
      <c r="AE18" s="639">
        <f>IF(N18="węgiel",Q18*'Założenia,wskaźniki, listy'!$C$48,IF(N18="gaz",Q18*'Założenia,wskaźniki, listy'!$D$48,IF(N18="drewno",Q18*'Założenia,wskaźniki, listy'!$E$48,IF(N18="pelet",Q18*'Założenia,wskaźniki, listy'!$G$48,IF(N18="olej opałowy",Q18*'Założenia,wskaźniki, listy'!$G$48,IF(N18="sieć ciepłownicza",0,IF(N18="prąd",0,0)))))))</f>
        <v>0</v>
      </c>
      <c r="AF18" s="639">
        <f>IF(N18="węgiel",Q18*'Założenia,wskaźniki, listy'!$C$49,IF(N18="gaz",Q18*'Założenia,wskaźniki, listy'!$D$49,IF(N18="drewno",Q18*'Założenia,wskaźniki, listy'!$E$49,IF(N18="pelet",Q18*'Założenia,wskaźniki, listy'!$G$49,IF(N18="olej opałowy",Q18*'Założenia,wskaźniki, listy'!$G$49,IF(N18="sieć ciepłownicza",0,IF(N18="prąd",0,0)))))))</f>
        <v>0</v>
      </c>
      <c r="AG18" s="639">
        <f>IF(N18="węgiel",Q18*'Założenia,wskaźniki, listy'!$C$50,IF(N18="gaz",Q18*'Założenia,wskaźniki, listy'!$D$50,IF(N18="drewno",Q18*'Założenia,wskaźniki, listy'!$E$50,IF(N18="pelet",Q18*'Założenia,wskaźniki, listy'!$G$50,IF(N18="olej opałowy",Q18*'Założenia,wskaźniki, listy'!$G$50,IF(N18="sieć ciepłownicza",0,IF(N18="prąd",0,0)))))))</f>
        <v>0</v>
      </c>
      <c r="AH18" s="640">
        <f>IF(L18="węgiel",(P18+R18)/2*'Założenia,wskaźniki, listy'!$C$4,IF(L18="gaz",(P18+R18)/2*'Założenia,wskaźniki, listy'!$C$5,IF(L18="drewno",(P18+R18)/2*'Założenia,wskaźniki, listy'!$C$6,IF(L18="pelet",(P18+R18)/2*'Założenia,wskaźniki, listy'!$C$7,IF(L18="olej opałowy",(P18+R18)/2*'Założenia,wskaźniki, listy'!$C$8,IF(L18="sieć ciepłownicza",(P18+R18)/2*'Założenia,wskaźniki, listy'!$C$9,IF(L18="sieć ciepłownicza",(P18+R18)/2*'Założenia,wskaźniki, listy'!$C$10,)))))))</f>
        <v>0</v>
      </c>
      <c r="AI18" s="640">
        <f>IF(N18="węgiel",Q18*'Założenia,wskaźniki, listy'!$C$4,IF(N18="gaz",Q18*'Założenia,wskaźniki, listy'!$C$5,IF(N18="drewno",Q18*'Założenia,wskaźniki, listy'!$C$6,IF(N18="pelet",Q18*'Założenia,wskaźniki, listy'!$C$7,IF(N18="olej opałowy",Q18*'Założenia,wskaźniki, listy'!$C$8,IF(N18="sieć ciepłownicza",Q18*'Założenia,wskaźniki, listy'!$C$9,IF(N18="sieć ciepłownicza",Q18*'Założenia,wskaźniki, listy'!$C$10,0)))))))</f>
        <v>0</v>
      </c>
      <c r="AJ18" s="640">
        <f>S18*'Założenia,wskaźniki, listy'!$B$64*1000</f>
        <v>0</v>
      </c>
      <c r="AK18" s="640">
        <f>(H18+I18)*'Założenia,wskaźniki, listy'!$D$64*12</f>
        <v>0</v>
      </c>
      <c r="AL18" s="640">
        <f>AK18*'Założenia,wskaźniki, listy'!$F$64</f>
        <v>0</v>
      </c>
      <c r="AM18" s="639">
        <f t="shared" ref="AM18" si="46">T18+AA18</f>
        <v>0</v>
      </c>
      <c r="AN18" s="639">
        <f t="shared" ref="AN18" si="47">U18+AB18</f>
        <v>0</v>
      </c>
      <c r="AO18" s="639">
        <f>V18+AC18+S18*'Założenia,wskaźniki, listy'!$J$46</f>
        <v>0</v>
      </c>
      <c r="AP18" s="639">
        <f t="shared" ref="AP18" si="48">W18+AD18</f>
        <v>0</v>
      </c>
      <c r="AQ18" s="639">
        <f t="shared" ref="AQ18" si="49">X18+AE18</f>
        <v>0</v>
      </c>
      <c r="AR18" s="639">
        <f t="shared" ref="AR18" si="50">Y18+AF18</f>
        <v>0</v>
      </c>
      <c r="AS18" s="639">
        <f t="shared" ref="AS18" si="51">Z18+AG18</f>
        <v>0</v>
      </c>
      <c r="AT18" s="647"/>
      <c r="AU18" s="647"/>
      <c r="AV18" s="624">
        <f t="shared" si="1"/>
        <v>0</v>
      </c>
      <c r="AW18" s="624" t="b">
        <f t="shared" si="2"/>
        <v>0</v>
      </c>
      <c r="AX18" s="624" t="b">
        <f t="shared" si="3"/>
        <v>0</v>
      </c>
      <c r="AY18" s="624" t="b">
        <f t="shared" si="4"/>
        <v>0</v>
      </c>
      <c r="AZ18" s="624" t="b">
        <f t="shared" si="5"/>
        <v>0</v>
      </c>
      <c r="BA18" s="624" t="b">
        <f t="shared" si="6"/>
        <v>0</v>
      </c>
      <c r="BB18" s="624" t="b">
        <f t="shared" si="7"/>
        <v>0</v>
      </c>
      <c r="BC18" s="624" t="b">
        <f t="shared" si="8"/>
        <v>0</v>
      </c>
      <c r="BD18" s="624" t="b">
        <f t="shared" si="9"/>
        <v>0</v>
      </c>
      <c r="BE18" s="624" t="b">
        <f t="shared" si="10"/>
        <v>0</v>
      </c>
      <c r="BF18" s="624" t="b">
        <f t="shared" si="11"/>
        <v>0</v>
      </c>
      <c r="BG18" s="624" t="b">
        <f t="shared" si="12"/>
        <v>0</v>
      </c>
      <c r="BH18" s="624" t="b">
        <f t="shared" si="13"/>
        <v>0</v>
      </c>
      <c r="BI18" s="624" t="b">
        <f t="shared" si="14"/>
        <v>0</v>
      </c>
      <c r="BJ18" s="624" t="b">
        <f t="shared" si="15"/>
        <v>0</v>
      </c>
      <c r="BK18" s="624" t="b">
        <f t="shared" si="16"/>
        <v>0</v>
      </c>
      <c r="BL18" s="624" t="b">
        <f t="shared" si="17"/>
        <v>0</v>
      </c>
      <c r="BM18" s="624" t="b">
        <f t="shared" si="18"/>
        <v>0</v>
      </c>
      <c r="BN18" s="624" t="b">
        <f t="shared" si="19"/>
        <v>0</v>
      </c>
      <c r="BO18" s="624" t="b">
        <f t="shared" si="20"/>
        <v>0</v>
      </c>
      <c r="BP18" s="624" t="b">
        <f t="shared" si="21"/>
        <v>0</v>
      </c>
      <c r="BQ18" s="624" t="b">
        <f t="shared" si="22"/>
        <v>0</v>
      </c>
    </row>
    <row r="19" spans="1:69">
      <c r="A19" s="1086">
        <v>8</v>
      </c>
      <c r="B19" s="644" t="s">
        <v>23</v>
      </c>
      <c r="C19" s="873" t="s">
        <v>621</v>
      </c>
      <c r="D19" s="636" t="s">
        <v>622</v>
      </c>
      <c r="E19" s="645">
        <v>7</v>
      </c>
      <c r="F19" s="873">
        <v>1975</v>
      </c>
      <c r="G19" s="635">
        <v>90</v>
      </c>
      <c r="H19" s="644"/>
      <c r="I19" s="635"/>
      <c r="J19" s="644">
        <f>IF(F19&lt;=1966,'Założenia,wskaźniki, listy'!$H$4,IF(F19&gt;1966,IF(F19&lt;=1985,'Założenia,wskaźniki, listy'!$H$5,IF(F19&gt;1985,IF(F19&lt;=1992,'Założenia,wskaźniki, listy'!$H$6,IF(F19&gt;1992,IF(F19&lt;=1996,'Założenia,wskaźniki, listy'!$H$7,IF(F19&gt;1996,IF(F19&lt;=2013,'Założenia,wskaźniki, listy'!$H$8)))))))))</f>
        <v>250</v>
      </c>
      <c r="K19" s="864" t="s">
        <v>32</v>
      </c>
      <c r="L19" s="644" t="s">
        <v>79</v>
      </c>
      <c r="M19" s="644">
        <v>3</v>
      </c>
      <c r="N19" s="644"/>
      <c r="O19" s="637">
        <f t="shared" si="23"/>
        <v>46.8</v>
      </c>
      <c r="P19" s="646">
        <f>IF(K19="kompletna",J19*G19*0.0036*'Założenia,wskaźniki, listy'!$P$9,IF(K19="częściowa",J19*G19*0.0036*'Założenia,wskaźniki, listy'!$P$10,IF(K19="brak",J19*G19*0.0036*'Założenia,wskaźniki, listy'!$P$11,0)))</f>
        <v>48.6</v>
      </c>
      <c r="Q19" s="638">
        <f>H19*'Założenia,wskaźniki, listy'!$L$15</f>
        <v>0</v>
      </c>
      <c r="R19" s="635">
        <f>IF(L19="węgiel",'Mieszkalne - baza'!M19*'Założenia,wskaźniki, listy'!$B$4,IF(L19="gaz",'Mieszkalne - baza'!M19*'Założenia,wskaźniki, listy'!$B$5,IF(L19="drewno",'Mieszkalne - baza'!M19*'Założenia,wskaźniki, listy'!$B$6,IF(L19="pelet",'Mieszkalne - baza'!M19*'Założenia,wskaźniki, listy'!$B$7,IF(L19="olej opałowy",'Mieszkalne - baza'!M19*'Założenia,wskaźniki, listy'!$B$8,IF(L19="sieć ciepłownicza",0,0))))))</f>
        <v>45</v>
      </c>
      <c r="S19" s="1084">
        <v>1.974</v>
      </c>
      <c r="T19" s="639">
        <f>IF(L19="węgiel",R19*'Założenia,wskaźniki, listy'!$C$44,IF(L19="gaz",R19*'Założenia,wskaźniki, listy'!$D$44,IF(L19="drewno",R19*'Założenia,wskaźniki, listy'!$E$44,IF(L19="pelet",R19*'Założenia,wskaźniki, listy'!$F$44,IF(L19="olej opałowy",R19*'Założenia,wskaźniki, listy'!$G$44,IF(L19="sieć ciepłownicza",0,IF(L19="prąd",0,0)))))))</f>
        <v>2.1600000000000001E-2</v>
      </c>
      <c r="U19" s="639">
        <f>IF(L19="węgiel",R19*'Założenia,wskaźniki, listy'!$C$45,IF(L19="gaz",R19*'Założenia,wskaźniki, listy'!$D$45,IF(L19="drewno",R19*'Założenia,wskaźniki, listy'!$E$45,IF(L19="pelet",R19*'Założenia,wskaźniki, listy'!$F$45,IF(L19="olej opałowy",R19*'Założenia,wskaźniki, listy'!$G$45,IF(L19="sieć ciepłownicza",0,IF(L19="prąd",0,0)))))))</f>
        <v>2.1149999999999999E-2</v>
      </c>
      <c r="V19" s="639">
        <f>IF(L19="węgiel",R19*'Założenia,wskaźniki, listy'!$C$46,IF(L19="gaz",R19*'Założenia,wskaźniki, listy'!$D$46,IF(L19="drewno",R19*'Założenia,wskaźniki, listy'!$E$46,IF(L19="pelet",R19*'Założenia,wskaźniki, listy'!$F$46,IF(L19="olej opałowy",R19*'Założenia,wskaźniki, listy'!$G$46,IF(L19="sieć ciepłownicza",R19*'Założenia,wskaźniki, listy'!$H$46,IF(L19="prąd",R19*'Założenia,wskaźniki, listy'!$I$46,0)))))))</f>
        <v>0</v>
      </c>
      <c r="W19" s="639">
        <f>IF(L19="węgiel",R19*'Założenia,wskaźniki, listy'!$C$47,IF(L19="gaz",R19*'Założenia,wskaźniki, listy'!$D$47,IF(L19="drewno",R19*'Założenia,wskaźniki, listy'!$E$47,IF(L19="pelet",R19*'Założenia,wskaźniki, listy'!$F$47,IF(L19="olej opałowy",R19*'Założenia,wskaźniki, listy'!$G$47,IF(L19="sieć ciepłownicza",0,IF(L19="prąd",0,0)))))))</f>
        <v>5.4450000000000004E-6</v>
      </c>
      <c r="X19" s="639">
        <f>IF(L19="węgiel",R19*'Założenia,wskaźniki, listy'!$C$48, IF(L19="gaz",R19*'Założenia,wskaźniki, listy'!$D$48,IF(L19="drewno",R19*'Założenia,wskaźniki, listy'!$E$48,IF(L19="pelet",R19*'Założenia,wskaźniki, listy'!$F$48,IF(L19="olej opałowy",R19*'Założenia,wskaźniki, listy'!$G$48,IF(L19="sieć ciepłownicza",0,IF(L19="prąd",0,0)))))))</f>
        <v>4.95E-4</v>
      </c>
      <c r="Y19" s="639">
        <f>IF(L19="węgiel",R19*'Założenia,wskaźniki, listy'!$C$49, IF(L19="gaz",R19*'Założenia,wskaźniki, listy'!$D$49, IF(L19="drewno",R19*'Założenia,wskaźniki, listy'!$E$49,IF(L19="pelet",R19*'Założenia,wskaźniki, listy'!$F$49,IF(L19="olej opałowy",R19*'Założenia,wskaźniki, listy'!$G$49,IF(L19="sieć ciepłownicza",0,IF(L19="prąd",0,0)))))))</f>
        <v>3.6000000000000003E-3</v>
      </c>
      <c r="Z19" s="639">
        <f>IF(L19="węgiel",R19*'Założenia,wskaźniki, listy'!$C$50,IF(L19="gaz",R19*'Założenia,wskaźniki, listy'!$D$50, IF(L19="drewno",R19*'Założenia,wskaźniki, listy'!$E$50,IF(L19="pelet",R19*'Założenia,wskaźniki, listy'!$F$50,IF(L19="pelet",R19*'Założenia,wskaźniki, listy'!$F$50,IF(L19="olej opałowy",R19*'Założenia,wskaźniki, listy'!$G$50,IF(L19="sieć ciepłownicza",0,IF(L19="prąd",0,0))))))))</f>
        <v>8.0730000000000003E-3</v>
      </c>
      <c r="AA19" s="639">
        <f>IF(N19="węgiel",Q19*'Założenia,wskaźniki, listy'!$C$44,IF(N19="gaz",Q19*'Założenia,wskaźniki, listy'!$D$44,IF(N19="drewno",Q19*'Założenia,wskaźniki, listy'!$E$44,IF(N19="pelet",Q19*'Założenia,wskaźniki, listy'!$G$44,IF(N19="olej opałowy",Q19*'Założenia,wskaźniki, listy'!$G$44,IF(N19="sieć ciepłownicza",0,IF(N19="prąd",0,0)))))))</f>
        <v>0</v>
      </c>
      <c r="AB19" s="639">
        <f>IF(N19="węgiel",Q19*'Założenia,wskaźniki, listy'!$C$45,IF(N19="gaz",Q19*'Założenia,wskaźniki, listy'!$D$45,IF(N19="drewno",Q19*'Założenia,wskaźniki, listy'!$E$45,IF(N19="pelet",Q19*'Założenia,wskaźniki, listy'!$G$45,IF(N19="olej opałowy",Q19*'Założenia,wskaźniki, listy'!$G$45,IF(N19="sieć ciepłownicza",0,IF(N19="prąd",0,0)))))))</f>
        <v>0</v>
      </c>
      <c r="AC19" s="639">
        <f>IF(N19="węgiel",Q19*'Założenia,wskaźniki, listy'!$C$46,IF(N19="gaz",Q19*'Założenia,wskaźniki, listy'!$D$46,IF(N19="drewno",Q19*'Założenia,wskaźniki, listy'!$E$46,IF(N19="pelet",Q19*'Założenia,wskaźniki, listy'!$G$46,IF(N19="olej opałowy",Q19*'Założenia,wskaźniki, listy'!$G$46,IF(N19="sieć ciepłownicza",0,IF(N19="prąd",0,0)))))))</f>
        <v>0</v>
      </c>
      <c r="AD19" s="639">
        <f>IF(N19="węgiel",Q19*'Założenia,wskaźniki, listy'!$C$47,IF(N19="gaz",Q19*'Założenia,wskaźniki, listy'!$D$47,IF(N19="drewno",Q19*'Założenia,wskaźniki, listy'!$E$47,IF(N19="pelet",Q19*'Założenia,wskaźniki, listy'!$G$47,IF(N19="olej opałowy",Q19*'Założenia,wskaźniki, listy'!$G$47,IF(N19="sieć ciepłownicza",0,IF(N19="prąd",0,0)))))))</f>
        <v>0</v>
      </c>
      <c r="AE19" s="639">
        <f>IF(N19="węgiel",Q19*'Założenia,wskaźniki, listy'!$C$48,IF(N19="gaz",Q19*'Założenia,wskaźniki, listy'!$D$48,IF(N19="drewno",Q19*'Założenia,wskaźniki, listy'!$E$48,IF(N19="pelet",Q19*'Założenia,wskaźniki, listy'!$G$48,IF(N19="olej opałowy",Q19*'Założenia,wskaźniki, listy'!$G$48,IF(N19="sieć ciepłownicza",0,IF(N19="prąd",0,0)))))))</f>
        <v>0</v>
      </c>
      <c r="AF19" s="639">
        <f>IF(N19="węgiel",Q19*'Założenia,wskaźniki, listy'!$C$49,IF(N19="gaz",Q19*'Założenia,wskaźniki, listy'!$D$49,IF(N19="drewno",Q19*'Założenia,wskaźniki, listy'!$E$49,IF(N19="pelet",Q19*'Założenia,wskaźniki, listy'!$G$49,IF(N19="olej opałowy",Q19*'Założenia,wskaźniki, listy'!$G$49,IF(N19="sieć ciepłownicza",0,IF(N19="prąd",0,0)))))))</f>
        <v>0</v>
      </c>
      <c r="AG19" s="639">
        <f>IF(N19="węgiel",Q19*'Założenia,wskaźniki, listy'!$C$50,IF(N19="gaz",Q19*'Założenia,wskaźniki, listy'!$D$50,IF(N19="drewno",Q19*'Założenia,wskaźniki, listy'!$E$50,IF(N19="pelet",Q19*'Założenia,wskaźniki, listy'!$G$50,IF(N19="olej opałowy",Q19*'Założenia,wskaźniki, listy'!$G$50,IF(N19="sieć ciepłownicza",0,IF(N19="prąd",0,0)))))))</f>
        <v>0</v>
      </c>
      <c r="AH19" s="640">
        <f>IF(L19="węgiel",(P19+R19)/2*'Założenia,wskaźniki, listy'!$C$4,IF(L19="gaz",(P19+R19)/2*'Założenia,wskaźniki, listy'!$C$5,IF(L19="drewno",(P19+R19)/2*'Założenia,wskaźniki, listy'!$C$6,IF(L19="pelet",(P19+R19)/2*'Założenia,wskaźniki, listy'!$C$7,IF(L19="olej opałowy",(P19+R19)/2*'Założenia,wskaźniki, listy'!$C$8,IF(L19="sieć ciepłownicza",(P19+R19)/2*'Założenia,wskaźniki, listy'!$C$9,IF(L19="sieć ciepłownicza",(P19+R19)/2*'Założenia,wskaźniki, listy'!$C$10,)))))))</f>
        <v>1778.3999999999999</v>
      </c>
      <c r="AI19" s="640">
        <f>IF(N19="węgiel",Q19*'Założenia,wskaźniki, listy'!$C$4,IF(N19="gaz",Q19*'Założenia,wskaźniki, listy'!$C$5,IF(N19="drewno",Q19*'Założenia,wskaźniki, listy'!$C$6,IF(N19="pelet",Q19*'Założenia,wskaźniki, listy'!$C$7,IF(N19="olej opałowy",Q19*'Założenia,wskaźniki, listy'!$C$8,IF(N19="sieć ciepłownicza",Q19*'Założenia,wskaźniki, listy'!$C$9,IF(N19="sieć ciepłownicza",Q19*'Założenia,wskaźniki, listy'!$C$10,0)))))))</f>
        <v>0</v>
      </c>
      <c r="AJ19" s="640">
        <f>S19*'Założenia,wskaźniki, listy'!$B$64*1000</f>
        <v>1401.54</v>
      </c>
      <c r="AK19" s="640">
        <f>(H19+I19)*'Założenia,wskaźniki, listy'!$D$64*12</f>
        <v>0</v>
      </c>
      <c r="AL19" s="640">
        <f>AK19*'Założenia,wskaźniki, listy'!$F$64</f>
        <v>0</v>
      </c>
      <c r="AM19" s="639">
        <f t="shared" si="24"/>
        <v>2.1600000000000001E-2</v>
      </c>
      <c r="AN19" s="639">
        <f t="shared" si="25"/>
        <v>2.1149999999999999E-2</v>
      </c>
      <c r="AO19" s="639">
        <f>V19+AC19+S19*'Założenia,wskaźniki, listy'!$J$46</f>
        <v>1.641381</v>
      </c>
      <c r="AP19" s="639">
        <f t="shared" si="26"/>
        <v>5.4450000000000004E-6</v>
      </c>
      <c r="AQ19" s="639">
        <f t="shared" si="27"/>
        <v>4.95E-4</v>
      </c>
      <c r="AR19" s="639">
        <f t="shared" si="28"/>
        <v>3.6000000000000003E-3</v>
      </c>
      <c r="AS19" s="639">
        <f t="shared" si="29"/>
        <v>8.0730000000000003E-3</v>
      </c>
      <c r="AT19" s="647"/>
      <c r="AU19" s="647"/>
      <c r="AV19" s="624" t="b">
        <f t="shared" si="1"/>
        <v>0</v>
      </c>
      <c r="AW19" s="624" t="b">
        <f t="shared" si="2"/>
        <v>0</v>
      </c>
      <c r="AX19" s="624">
        <f t="shared" si="3"/>
        <v>90</v>
      </c>
      <c r="AY19" s="624">
        <f t="shared" si="4"/>
        <v>90</v>
      </c>
      <c r="AZ19" s="624" t="b">
        <f t="shared" si="5"/>
        <v>0</v>
      </c>
      <c r="BA19" s="624" t="b">
        <f t="shared" si="6"/>
        <v>0</v>
      </c>
      <c r="BB19" s="624" t="b">
        <f t="shared" si="7"/>
        <v>0</v>
      </c>
      <c r="BC19" s="624" t="b">
        <f t="shared" si="8"/>
        <v>0</v>
      </c>
      <c r="BD19" s="624" t="b">
        <f t="shared" si="9"/>
        <v>0</v>
      </c>
      <c r="BE19" s="624" t="b">
        <f t="shared" si="10"/>
        <v>0</v>
      </c>
      <c r="BF19" s="624" t="b">
        <f t="shared" si="11"/>
        <v>0</v>
      </c>
      <c r="BG19" s="624" t="b">
        <f t="shared" si="12"/>
        <v>0</v>
      </c>
      <c r="BH19" s="624">
        <f t="shared" si="13"/>
        <v>45</v>
      </c>
      <c r="BI19" s="624" t="b">
        <f t="shared" si="14"/>
        <v>0</v>
      </c>
      <c r="BJ19" s="624" t="b">
        <f t="shared" si="15"/>
        <v>0</v>
      </c>
      <c r="BK19" s="624" t="b">
        <f t="shared" si="16"/>
        <v>0</v>
      </c>
      <c r="BL19" s="624" t="b">
        <f t="shared" si="17"/>
        <v>0</v>
      </c>
      <c r="BM19" s="624" t="b">
        <f t="shared" si="18"/>
        <v>0</v>
      </c>
      <c r="BN19" s="624" t="b">
        <f t="shared" si="19"/>
        <v>0</v>
      </c>
      <c r="BO19" s="624" t="b">
        <f t="shared" si="20"/>
        <v>0</v>
      </c>
      <c r="BP19" s="624" t="b">
        <f t="shared" si="21"/>
        <v>0</v>
      </c>
      <c r="BQ19" s="624" t="b">
        <f t="shared" si="22"/>
        <v>0</v>
      </c>
    </row>
    <row r="20" spans="1:69">
      <c r="A20" s="1086"/>
      <c r="B20" s="644"/>
      <c r="C20" s="647"/>
      <c r="D20" s="645"/>
      <c r="E20" s="645"/>
      <c r="F20" s="644"/>
      <c r="G20" s="644"/>
      <c r="H20" s="644"/>
      <c r="I20" s="635"/>
      <c r="J20" s="644">
        <f>IF(F20&lt;=1966,'Założenia,wskaźniki, listy'!$H$4,IF(F20&gt;1966,IF(F20&lt;=1985,'Założenia,wskaźniki, listy'!$H$5,IF(F20&gt;1985,IF(F20&lt;=1992,'Założenia,wskaźniki, listy'!$H$6,IF(F20&gt;1992,IF(F20&lt;=1996,'Założenia,wskaźniki, listy'!$H$7,IF(F20&gt;1996,IF(F20&lt;=2013,'Założenia,wskaźniki, listy'!$H$8)))))))))</f>
        <v>290</v>
      </c>
      <c r="K20" s="864"/>
      <c r="L20" s="644"/>
      <c r="M20" s="644"/>
      <c r="N20" s="644"/>
      <c r="O20" s="637">
        <f t="shared" si="23"/>
        <v>0</v>
      </c>
      <c r="P20" s="646">
        <f>IF(K20="kompletna",J20*G20*0.0036*'Założenia,wskaźniki, listy'!$P$9,IF(K20="częściowa",J20*G20*0.0036*'Założenia,wskaźniki, listy'!$P$10,IF(K20="brak",J20*G20*0.0036*'Założenia,wskaźniki, listy'!$P$11,0)))</f>
        <v>0</v>
      </c>
      <c r="Q20" s="638">
        <f>H20*'Założenia,wskaźniki, listy'!$L$15</f>
        <v>0</v>
      </c>
      <c r="R20" s="635">
        <f>IF(L20="węgiel",'Mieszkalne - baza'!M20*'Założenia,wskaźniki, listy'!$B$4,IF(L20="gaz",'Mieszkalne - baza'!M20*'Założenia,wskaźniki, listy'!$B$5,IF(L20="drewno",'Mieszkalne - baza'!M20*'Założenia,wskaźniki, listy'!$B$6,IF(L20="pelet",'Mieszkalne - baza'!M20*'Założenia,wskaźniki, listy'!$B$7,IF(L20="olej opałowy",'Mieszkalne - baza'!M20*'Założenia,wskaźniki, listy'!$B$8,IF(L20="sieć ciepłownicza",0,0))))))</f>
        <v>0</v>
      </c>
      <c r="S20" s="1085"/>
      <c r="T20" s="639">
        <f>IF(L20="węgiel",R20*'Założenia,wskaźniki, listy'!$C$44,IF(L20="gaz",R20*'Założenia,wskaźniki, listy'!$D$44,IF(L20="drewno",R20*'Założenia,wskaźniki, listy'!$E$44,IF(L20="pelet",R20*'Założenia,wskaźniki, listy'!$F$44,IF(L20="olej opałowy",R20*'Założenia,wskaźniki, listy'!$G$44,IF(L20="sieć ciepłownicza",0,IF(L20="prąd",0,0)))))))</f>
        <v>0</v>
      </c>
      <c r="U20" s="639">
        <f>IF(L20="węgiel",R20*'Założenia,wskaźniki, listy'!$C$45,IF(L20="gaz",R20*'Założenia,wskaźniki, listy'!$D$45,IF(L20="drewno",R20*'Założenia,wskaźniki, listy'!$E$45,IF(L20="pelet",R20*'Założenia,wskaźniki, listy'!$F$45,IF(L20="olej opałowy",R20*'Założenia,wskaźniki, listy'!$G$45,IF(L20="sieć ciepłownicza",0,IF(L20="prąd",0,0)))))))</f>
        <v>0</v>
      </c>
      <c r="V20" s="639">
        <f>IF(L20="węgiel",R20*'Założenia,wskaźniki, listy'!$C$46,IF(L20="gaz",R20*'Założenia,wskaźniki, listy'!$D$46,IF(L20="drewno",R20*'Założenia,wskaźniki, listy'!$E$46,IF(L20="pelet",R20*'Założenia,wskaźniki, listy'!$F$46,IF(L20="olej opałowy",R20*'Założenia,wskaźniki, listy'!$G$46,IF(L20="sieć ciepłownicza",R20*'Założenia,wskaźniki, listy'!$H$46,IF(L20="prąd",R20*'Założenia,wskaźniki, listy'!$I$46,0)))))))</f>
        <v>0</v>
      </c>
      <c r="W20" s="639">
        <f>IF(L20="węgiel",R20*'Założenia,wskaźniki, listy'!$C$47,IF(L20="gaz",R20*'Założenia,wskaźniki, listy'!$D$47,IF(L20="drewno",R20*'Założenia,wskaźniki, listy'!$E$47,IF(L20="pelet",R20*'Założenia,wskaźniki, listy'!$F$47,IF(L20="olej opałowy",R20*'Założenia,wskaźniki, listy'!$G$47,IF(L20="sieć ciepłownicza",0,IF(L20="prąd",0,0)))))))</f>
        <v>0</v>
      </c>
      <c r="X20" s="639">
        <f>IF(L20="węgiel",R20*'Założenia,wskaźniki, listy'!$C$48, IF(L20="gaz",R20*'Założenia,wskaźniki, listy'!$D$48,IF(L20="drewno",R20*'Założenia,wskaźniki, listy'!$E$48,IF(L20="pelet",R20*'Założenia,wskaźniki, listy'!$F$48,IF(L20="olej opałowy",R20*'Założenia,wskaźniki, listy'!$G$48,IF(L20="sieć ciepłownicza",0,IF(L20="prąd",0,0)))))))</f>
        <v>0</v>
      </c>
      <c r="Y20" s="639">
        <f>IF(L20="węgiel",R20*'Założenia,wskaźniki, listy'!$C$49, IF(L20="gaz",R20*'Założenia,wskaźniki, listy'!$D$49, IF(L20="drewno",R20*'Założenia,wskaźniki, listy'!$E$49,IF(L20="pelet",R20*'Założenia,wskaźniki, listy'!$F$49,IF(L20="olej opałowy",R20*'Założenia,wskaźniki, listy'!$G$49,IF(L20="sieć ciepłownicza",0,IF(L20="prąd",0,0)))))))</f>
        <v>0</v>
      </c>
      <c r="Z20" s="639">
        <f>IF(L20="węgiel",R20*'Założenia,wskaźniki, listy'!$C$50,IF(L20="gaz",R20*'Założenia,wskaźniki, listy'!$D$50, IF(L20="drewno",R20*'Założenia,wskaźniki, listy'!$E$50,IF(L20="pelet",R20*'Założenia,wskaźniki, listy'!$F$50,IF(L20="pelet",R20*'Założenia,wskaźniki, listy'!$F$50,IF(L20="olej opałowy",R20*'Założenia,wskaźniki, listy'!$G$50,IF(L20="sieć ciepłownicza",0,IF(L20="prąd",0,0))))))))</f>
        <v>0</v>
      </c>
      <c r="AA20" s="639">
        <f>IF(N20="węgiel",Q20*'Założenia,wskaźniki, listy'!$C$44,IF(N20="gaz",Q20*'Założenia,wskaźniki, listy'!$D$44,IF(N20="drewno",Q20*'Założenia,wskaźniki, listy'!$E$44,IF(N20="pelet",Q20*'Założenia,wskaźniki, listy'!$G$44,IF(N20="olej opałowy",Q20*'Założenia,wskaźniki, listy'!$G$44,IF(N20="sieć ciepłownicza",0,IF(N20="prąd",0,0)))))))</f>
        <v>0</v>
      </c>
      <c r="AB20" s="639">
        <f>IF(N20="węgiel",Q20*'Założenia,wskaźniki, listy'!$C$45,IF(N20="gaz",Q20*'Założenia,wskaźniki, listy'!$D$45,IF(N20="drewno",Q20*'Założenia,wskaźniki, listy'!$E$45,IF(N20="pelet",Q20*'Założenia,wskaźniki, listy'!$G$45,IF(N20="olej opałowy",Q20*'Założenia,wskaźniki, listy'!$G$45,IF(N20="sieć ciepłownicza",0,IF(N20="prąd",0,0)))))))</f>
        <v>0</v>
      </c>
      <c r="AC20" s="639">
        <f>IF(N20="węgiel",Q20*'Założenia,wskaźniki, listy'!$C$46,IF(N20="gaz",Q20*'Założenia,wskaźniki, listy'!$D$46,IF(N20="drewno",Q20*'Założenia,wskaźniki, listy'!$E$46,IF(N20="pelet",Q20*'Założenia,wskaźniki, listy'!$G$46,IF(N20="olej opałowy",Q20*'Założenia,wskaźniki, listy'!$G$46,IF(N20="sieć ciepłownicza",0,IF(N20="prąd",0,0)))))))</f>
        <v>0</v>
      </c>
      <c r="AD20" s="639">
        <f>IF(N20="węgiel",Q20*'Założenia,wskaźniki, listy'!$C$47,IF(N20="gaz",Q20*'Założenia,wskaźniki, listy'!$D$47,IF(N20="drewno",Q20*'Założenia,wskaźniki, listy'!$E$47,IF(N20="pelet",Q20*'Założenia,wskaźniki, listy'!$G$47,IF(N20="olej opałowy",Q20*'Założenia,wskaźniki, listy'!$G$47,IF(N20="sieć ciepłownicza",0,IF(N20="prąd",0,0)))))))</f>
        <v>0</v>
      </c>
      <c r="AE20" s="639">
        <f>IF(N20="węgiel",Q20*'Założenia,wskaźniki, listy'!$C$48,IF(N20="gaz",Q20*'Założenia,wskaźniki, listy'!$D$48,IF(N20="drewno",Q20*'Założenia,wskaźniki, listy'!$E$48,IF(N20="pelet",Q20*'Założenia,wskaźniki, listy'!$G$48,IF(N20="olej opałowy",Q20*'Założenia,wskaźniki, listy'!$G$48,IF(N20="sieć ciepłownicza",0,IF(N20="prąd",0,0)))))))</f>
        <v>0</v>
      </c>
      <c r="AF20" s="639">
        <f>IF(N20="węgiel",Q20*'Założenia,wskaźniki, listy'!$C$49,IF(N20="gaz",Q20*'Założenia,wskaźniki, listy'!$D$49,IF(N20="drewno",Q20*'Założenia,wskaźniki, listy'!$E$49,IF(N20="pelet",Q20*'Założenia,wskaźniki, listy'!$G$49,IF(N20="olej opałowy",Q20*'Założenia,wskaźniki, listy'!$G$49,IF(N20="sieć ciepłownicza",0,IF(N20="prąd",0,0)))))))</f>
        <v>0</v>
      </c>
      <c r="AG20" s="639">
        <f>IF(N20="węgiel",Q20*'Założenia,wskaźniki, listy'!$C$50,IF(N20="gaz",Q20*'Założenia,wskaźniki, listy'!$D$50,IF(N20="drewno",Q20*'Założenia,wskaźniki, listy'!$E$50,IF(N20="pelet",Q20*'Założenia,wskaźniki, listy'!$G$50,IF(N20="olej opałowy",Q20*'Założenia,wskaźniki, listy'!$G$50,IF(N20="sieć ciepłownicza",0,IF(N20="prąd",0,0)))))))</f>
        <v>0</v>
      </c>
      <c r="AH20" s="640">
        <f>IF(L20="węgiel",(P20+R20)/2*'Założenia,wskaźniki, listy'!$C$4,IF(L20="gaz",(P20+R20)/2*'Założenia,wskaźniki, listy'!$C$5,IF(L20="drewno",(P20+R20)/2*'Założenia,wskaźniki, listy'!$C$6,IF(L20="pelet",(P20+R20)/2*'Założenia,wskaźniki, listy'!$C$7,IF(L20="olej opałowy",(P20+R20)/2*'Założenia,wskaźniki, listy'!$C$8,IF(L20="sieć ciepłownicza",(P20+R20)/2*'Założenia,wskaźniki, listy'!$C$9,IF(L20="sieć ciepłownicza",(P20+R20)/2*'Założenia,wskaźniki, listy'!$C$10,)))))))</f>
        <v>0</v>
      </c>
      <c r="AI20" s="640">
        <f>IF(N20="węgiel",Q20*'Założenia,wskaźniki, listy'!$C$4,IF(N20="gaz",Q20*'Założenia,wskaźniki, listy'!$C$5,IF(N20="drewno",Q20*'Założenia,wskaźniki, listy'!$C$6,IF(N20="pelet",Q20*'Założenia,wskaźniki, listy'!$C$7,IF(N20="olej opałowy",Q20*'Założenia,wskaźniki, listy'!$C$8,IF(N20="sieć ciepłownicza",Q20*'Założenia,wskaźniki, listy'!$C$9,IF(N20="sieć ciepłownicza",Q20*'Założenia,wskaźniki, listy'!$C$10,0)))))))</f>
        <v>0</v>
      </c>
      <c r="AJ20" s="640">
        <f>S20*'Założenia,wskaźniki, listy'!$B$64*1000</f>
        <v>0</v>
      </c>
      <c r="AK20" s="640">
        <f>(H20+I20)*'Założenia,wskaźniki, listy'!$D$64*12</f>
        <v>0</v>
      </c>
      <c r="AL20" s="640">
        <f>AK20*'Założenia,wskaźniki, listy'!$F$64</f>
        <v>0</v>
      </c>
      <c r="AM20" s="639">
        <f t="shared" si="24"/>
        <v>0</v>
      </c>
      <c r="AN20" s="639">
        <f t="shared" si="25"/>
        <v>0</v>
      </c>
      <c r="AO20" s="639">
        <f>V20+AC20+S20*'Założenia,wskaźniki, listy'!$J$46</f>
        <v>0</v>
      </c>
      <c r="AP20" s="639">
        <f t="shared" si="26"/>
        <v>0</v>
      </c>
      <c r="AQ20" s="639">
        <f t="shared" si="27"/>
        <v>0</v>
      </c>
      <c r="AR20" s="639">
        <f t="shared" si="28"/>
        <v>0</v>
      </c>
      <c r="AS20" s="639">
        <f t="shared" si="29"/>
        <v>0</v>
      </c>
      <c r="AT20" s="647"/>
      <c r="AU20" s="647"/>
      <c r="AV20" s="624">
        <f t="shared" si="1"/>
        <v>0</v>
      </c>
      <c r="AW20" s="624" t="b">
        <f t="shared" si="2"/>
        <v>0</v>
      </c>
      <c r="AX20" s="624" t="b">
        <f t="shared" si="3"/>
        <v>0</v>
      </c>
      <c r="AY20" s="624" t="b">
        <f t="shared" si="4"/>
        <v>0</v>
      </c>
      <c r="AZ20" s="624" t="b">
        <f t="shared" si="5"/>
        <v>0</v>
      </c>
      <c r="BA20" s="624" t="b">
        <f t="shared" si="6"/>
        <v>0</v>
      </c>
      <c r="BB20" s="624" t="b">
        <f t="shared" si="7"/>
        <v>0</v>
      </c>
      <c r="BC20" s="624" t="b">
        <f t="shared" si="8"/>
        <v>0</v>
      </c>
      <c r="BD20" s="624" t="b">
        <f t="shared" si="9"/>
        <v>0</v>
      </c>
      <c r="BE20" s="624" t="b">
        <f t="shared" si="10"/>
        <v>0</v>
      </c>
      <c r="BF20" s="624" t="b">
        <f t="shared" si="11"/>
        <v>0</v>
      </c>
      <c r="BG20" s="624" t="b">
        <f t="shared" si="12"/>
        <v>0</v>
      </c>
      <c r="BH20" s="624" t="b">
        <f t="shared" si="13"/>
        <v>0</v>
      </c>
      <c r="BI20" s="624" t="b">
        <f t="shared" si="14"/>
        <v>0</v>
      </c>
      <c r="BJ20" s="624" t="b">
        <f t="shared" si="15"/>
        <v>0</v>
      </c>
      <c r="BK20" s="624" t="b">
        <f t="shared" si="16"/>
        <v>0</v>
      </c>
      <c r="BL20" s="624" t="b">
        <f t="shared" si="17"/>
        <v>0</v>
      </c>
      <c r="BM20" s="624" t="b">
        <f t="shared" si="18"/>
        <v>0</v>
      </c>
      <c r="BN20" s="624" t="b">
        <f t="shared" si="19"/>
        <v>0</v>
      </c>
      <c r="BO20" s="624" t="b">
        <f t="shared" si="20"/>
        <v>0</v>
      </c>
      <c r="BP20" s="624" t="b">
        <f t="shared" si="21"/>
        <v>0</v>
      </c>
      <c r="BQ20" s="624" t="b">
        <f t="shared" si="22"/>
        <v>0</v>
      </c>
    </row>
    <row r="21" spans="1:69">
      <c r="A21" s="1091">
        <v>9</v>
      </c>
      <c r="B21" s="644" t="s">
        <v>21</v>
      </c>
      <c r="C21" s="873" t="s">
        <v>621</v>
      </c>
      <c r="D21" s="636" t="s">
        <v>622</v>
      </c>
      <c r="E21" s="645">
        <v>5</v>
      </c>
      <c r="F21" s="644">
        <v>1993</v>
      </c>
      <c r="G21" s="644">
        <v>210</v>
      </c>
      <c r="H21" s="644"/>
      <c r="I21" s="635"/>
      <c r="J21" s="644">
        <f>IF(F21&lt;=1966,'Założenia,wskaźniki, listy'!$H$4,IF(F21&gt;1966,IF(F21&lt;=1985,'Założenia,wskaźniki, listy'!$H$5,IF(F21&gt;1985,IF(F21&lt;=1992,'Założenia,wskaźniki, listy'!$H$6,IF(F21&gt;1992,IF(F21&lt;=1996,'Założenia,wskaźniki, listy'!$H$7,IF(F21&gt;1996,IF(F21&lt;=2015,'Założenia,wskaźniki, listy'!$H$8)))))))))</f>
        <v>130</v>
      </c>
      <c r="K21" s="864" t="s">
        <v>33</v>
      </c>
      <c r="L21" s="644" t="s">
        <v>8</v>
      </c>
      <c r="M21" s="644">
        <v>2</v>
      </c>
      <c r="N21" s="644"/>
      <c r="O21" s="637">
        <f t="shared" si="23"/>
        <v>61.922000000000004</v>
      </c>
      <c r="P21" s="646">
        <f>IF(K21="kompletna",J21*G21*0.0036*'Założenia,wskaźniki, listy'!$P$9,IF(K21="częściowa",J21*G21*0.0036*'Założenia,wskaźniki, listy'!$P$10,IF(K21="brak",J21*G21*0.0036*'Założenia,wskaźniki, listy'!$P$11,0)))</f>
        <v>78.624000000000009</v>
      </c>
      <c r="Q21" s="638">
        <f>H21*'Założenia,wskaźniki, listy'!$L$15</f>
        <v>0</v>
      </c>
      <c r="R21" s="635">
        <f>IF(L21="węgiel",'Mieszkalne - baza'!M21*'Założenia,wskaźniki, listy'!$B$4,IF(L21="gaz",'Mieszkalne - baza'!M21*'Założenia,wskaźniki, listy'!$B$5,IF(L21="drewno",'Mieszkalne - baza'!M21*'Założenia,wskaźniki, listy'!$B$6,IF(L21="pelet",'Mieszkalne - baza'!M21*'Założenia,wskaźniki, listy'!$B$7,IF(L21="olej opałowy",'Mieszkalne - baza'!M21*'Założenia,wskaźniki, listy'!$B$8,IF(L21="sieć ciepłownicza",0,0))))))</f>
        <v>45.22</v>
      </c>
      <c r="S21" s="1084">
        <v>2.1431999999999998</v>
      </c>
      <c r="T21" s="639">
        <f>IF(L21="węgiel",R21*'Założenia,wskaźniki, listy'!$C$44,IF(L21="gaz",R21*'Założenia,wskaźniki, listy'!$D$44,IF(L21="drewno",R21*'Założenia,wskaźniki, listy'!$E$44,IF(L21="pelet",R21*'Założenia,wskaźniki, listy'!$F$44,IF(L21="olej opałowy",R21*'Założenia,wskaźniki, listy'!$G$44,IF(L21="sieć ciepłownicza",0,IF(L21="prąd",0,0)))))))</f>
        <v>1.01745E-2</v>
      </c>
      <c r="U21" s="639">
        <f>IF(L21="węgiel",R21*'Założenia,wskaźniki, listy'!$C$45,IF(L21="gaz",R21*'Założenia,wskaźniki, listy'!$D$45,IF(L21="drewno",R21*'Założenia,wskaźniki, listy'!$E$45,IF(L21="pelet",R21*'Założenia,wskaźniki, listy'!$F$45,IF(L21="olej opałowy",R21*'Założenia,wskaźniki, listy'!$G$45,IF(L21="sieć ciepłownicza",0,IF(L21="prąd",0,0)))))))</f>
        <v>9.0892200000000003E-3</v>
      </c>
      <c r="V21" s="639">
        <f>IF(L21="węgiel",R21*'Założenia,wskaźniki, listy'!$C$46,IF(L21="gaz",R21*'Założenia,wskaźniki, listy'!$D$46,IF(L21="drewno",R21*'Założenia,wskaźniki, listy'!$E$46,IF(L21="pelet",R21*'Założenia,wskaźniki, listy'!$F$46,IF(L21="olej opałowy",R21*'Założenia,wskaźniki, listy'!$G$46,IF(L21="sieć ciepłownicza",R21*'Założenia,wskaźniki, listy'!$H$46,IF(L21="prąd",R21*'Założenia,wskaźniki, listy'!$I$46,0)))))))</f>
        <v>4.2389227999999992</v>
      </c>
      <c r="W21" s="639">
        <f>IF(L21="węgiel",R21*'Założenia,wskaźniki, listy'!$C$47,IF(L21="gaz",R21*'Założenia,wskaźniki, listy'!$D$47,IF(L21="drewno",R21*'Założenia,wskaźniki, listy'!$E$47,IF(L21="pelet",R21*'Założenia,wskaźniki, listy'!$F$47,IF(L21="olej opałowy",R21*'Założenia,wskaźniki, listy'!$G$47,IF(L21="sieć ciepłownicza",0,IF(L21="prąd",0,0)))))))</f>
        <v>1.22094E-5</v>
      </c>
      <c r="X21" s="639">
        <f>IF(L21="węgiel",R21*'Założenia,wskaźniki, listy'!$C$48, IF(L21="gaz",R21*'Założenia,wskaźniki, listy'!$D$48,IF(L21="drewno",R21*'Założenia,wskaźniki, listy'!$E$48,IF(L21="pelet",R21*'Założenia,wskaźniki, listy'!$F$48,IF(L21="olej opałowy",R21*'Założenia,wskaźniki, listy'!$G$48,IF(L21="sieć ciepłownicza",0,IF(L21="prąd",0,0)))))))</f>
        <v>4.0697999999999998E-2</v>
      </c>
      <c r="Y21" s="639">
        <f>IF(L21="węgiel",R21*'Założenia,wskaźniki, listy'!$C$49, IF(L21="gaz",R21*'Założenia,wskaźniki, listy'!$D$49, IF(L21="drewno",R21*'Założenia,wskaźniki, listy'!$E$49,IF(L21="pelet",R21*'Założenia,wskaźniki, listy'!$F$49,IF(L21="olej opałowy",R21*'Założenia,wskaźniki, listy'!$G$49,IF(L21="sieć ciepłownicza",0,IF(L21="prąd",0,0)))))))</f>
        <v>7.1447599999999991E-3</v>
      </c>
      <c r="Z21" s="639">
        <f>IF(L21="węgiel",R21*'Założenia,wskaźniki, listy'!$C$50,IF(L21="gaz",R21*'Założenia,wskaźniki, listy'!$D$50, IF(L21="drewno",R21*'Założenia,wskaźniki, listy'!$E$50,IF(L21="pelet",R21*'Założenia,wskaźniki, listy'!$F$50,IF(L21="pelet",R21*'Założenia,wskaźniki, listy'!$F$50,IF(L21="olej opałowy",R21*'Założenia,wskaźniki, listy'!$G$50,IF(L21="sieć ciepłownicza",0,IF(L21="prąd",0,0))))))))</f>
        <v>9.0965578900312913E-2</v>
      </c>
      <c r="AA21" s="639">
        <f>IF(N21="węgiel",Q21*'Założenia,wskaźniki, listy'!$C$44,IF(N21="gaz",Q21*'Założenia,wskaźniki, listy'!$D$44,IF(N21="drewno",Q21*'Założenia,wskaźniki, listy'!$E$44,IF(N21="pelet",Q21*'Założenia,wskaźniki, listy'!$G$44,IF(N21="olej opałowy",Q21*'Założenia,wskaźniki, listy'!$G$44,IF(N21="sieć ciepłownicza",0,IF(N21="prąd",0,0)))))))</f>
        <v>0</v>
      </c>
      <c r="AB21" s="639">
        <f>IF(N21="węgiel",Q21*'Założenia,wskaźniki, listy'!$C$45,IF(N21="gaz",Q21*'Założenia,wskaźniki, listy'!$D$45,IF(N21="drewno",Q21*'Założenia,wskaźniki, listy'!$E$45,IF(N21="pelet",Q21*'Założenia,wskaźniki, listy'!$G$45,IF(N21="olej opałowy",Q21*'Założenia,wskaźniki, listy'!$G$45,IF(N21="sieć ciepłownicza",0,IF(N21="prąd",0,0)))))))</f>
        <v>0</v>
      </c>
      <c r="AC21" s="639">
        <f>IF(N21="węgiel",Q21*'Założenia,wskaźniki, listy'!$C$46,IF(N21="gaz",Q21*'Założenia,wskaźniki, listy'!$D$46,IF(N21="drewno",Q21*'Założenia,wskaźniki, listy'!$E$46,IF(N21="pelet",Q21*'Założenia,wskaźniki, listy'!$G$46,IF(N21="olej opałowy",Q21*'Założenia,wskaźniki, listy'!$G$46,IF(N21="sieć ciepłownicza",0,IF(N21="prąd",0,0)))))))</f>
        <v>0</v>
      </c>
      <c r="AD21" s="639">
        <f>IF(N21="węgiel",Q21*'Założenia,wskaźniki, listy'!$C$47,IF(N21="gaz",Q21*'Założenia,wskaźniki, listy'!$D$47,IF(N21="drewno",Q21*'Założenia,wskaźniki, listy'!$E$47,IF(N21="pelet",Q21*'Założenia,wskaźniki, listy'!$G$47,IF(N21="olej opałowy",Q21*'Założenia,wskaźniki, listy'!$G$47,IF(N21="sieć ciepłownicza",0,IF(N21="prąd",0,0)))))))</f>
        <v>0</v>
      </c>
      <c r="AE21" s="639">
        <f>IF(N21="węgiel",Q21*'Założenia,wskaźniki, listy'!$C$48,IF(N21="gaz",Q21*'Założenia,wskaźniki, listy'!$D$48,IF(N21="drewno",Q21*'Założenia,wskaźniki, listy'!$E$48,IF(N21="pelet",Q21*'Założenia,wskaźniki, listy'!$G$48,IF(N21="olej opałowy",Q21*'Założenia,wskaźniki, listy'!$G$48,IF(N21="sieć ciepłownicza",0,IF(N21="prąd",0,0)))))))</f>
        <v>0</v>
      </c>
      <c r="AF21" s="639">
        <f>IF(N21="węgiel",Q21*'Założenia,wskaźniki, listy'!$C$49,IF(N21="gaz",Q21*'Założenia,wskaźniki, listy'!$D$49,IF(N21="drewno",Q21*'Założenia,wskaźniki, listy'!$E$49,IF(N21="pelet",Q21*'Założenia,wskaźniki, listy'!$G$49,IF(N21="olej opałowy",Q21*'Założenia,wskaźniki, listy'!$G$49,IF(N21="sieć ciepłownicza",0,IF(N21="prąd",0,0)))))))</f>
        <v>0</v>
      </c>
      <c r="AG21" s="639">
        <f>IF(N21="węgiel",Q21*'Założenia,wskaźniki, listy'!$C$50,IF(N21="gaz",Q21*'Założenia,wskaźniki, listy'!$D$50,IF(N21="drewno",Q21*'Założenia,wskaźniki, listy'!$E$50,IF(N21="pelet",Q21*'Założenia,wskaźniki, listy'!$G$50,IF(N21="olej opałowy",Q21*'Założenia,wskaźniki, listy'!$G$50,IF(N21="sieć ciepłownicza",0,IF(N21="prąd",0,0)))))))</f>
        <v>0</v>
      </c>
      <c r="AH21" s="640">
        <f>IF(L21="węgiel",(P21+R21)/2*'Założenia,wskaźniki, listy'!$C$4,IF(L21="gaz",(P21+R21)/2*'Założenia,wskaźniki, listy'!$C$5,IF(L21="drewno",(P21+R21)/2*'Założenia,wskaźniki, listy'!$C$6,IF(L21="pelet",(P21+R21)/2*'Założenia,wskaźniki, listy'!$C$7,IF(L21="olej opałowy",(P21+R21)/2*'Założenia,wskaźniki, listy'!$C$8,IF(L21="sieć ciepłownicza",(P21+R21)/2*'Założenia,wskaźniki, listy'!$C$9,IF(L21="sieć ciepłownicza",(P21+R21)/2*'Założenia,wskaźniki, listy'!$C$10,)))))))</f>
        <v>2538.8020000000001</v>
      </c>
      <c r="AI21" s="640">
        <f>IF(N21="węgiel",Q21*'Założenia,wskaźniki, listy'!$C$4,IF(N21="gaz",Q21*'Założenia,wskaźniki, listy'!$C$5,IF(N21="drewno",Q21*'Założenia,wskaźniki, listy'!$C$6,IF(N21="pelet",Q21*'Założenia,wskaźniki, listy'!$C$7,IF(N21="olej opałowy",Q21*'Założenia,wskaźniki, listy'!$C$8,IF(N21="sieć ciepłownicza",Q21*'Założenia,wskaźniki, listy'!$C$9,IF(N21="sieć ciepłownicza",Q21*'Założenia,wskaźniki, listy'!$C$10,0)))))))</f>
        <v>0</v>
      </c>
      <c r="AJ21" s="640">
        <f>S21*'Założenia,wskaźniki, listy'!$B$64*1000</f>
        <v>1521.6719999999998</v>
      </c>
      <c r="AK21" s="640">
        <f>(H21+I21)*'Założenia,wskaźniki, listy'!$D$64*12</f>
        <v>0</v>
      </c>
      <c r="AL21" s="640">
        <f>AK21*'Założenia,wskaźniki, listy'!$F$64</f>
        <v>0</v>
      </c>
      <c r="AM21" s="639">
        <f t="shared" si="24"/>
        <v>1.01745E-2</v>
      </c>
      <c r="AN21" s="639">
        <f t="shared" si="25"/>
        <v>9.0892200000000003E-3</v>
      </c>
      <c r="AO21" s="639">
        <f>V21+AC21+S21*'Założenia,wskaźniki, listy'!$J$46</f>
        <v>6.0209935999999988</v>
      </c>
      <c r="AP21" s="639">
        <f t="shared" si="26"/>
        <v>1.22094E-5</v>
      </c>
      <c r="AQ21" s="639">
        <f t="shared" si="27"/>
        <v>4.0697999999999998E-2</v>
      </c>
      <c r="AR21" s="639">
        <f t="shared" si="28"/>
        <v>7.1447599999999991E-3</v>
      </c>
      <c r="AS21" s="639">
        <f t="shared" si="29"/>
        <v>9.0965578900312913E-2</v>
      </c>
      <c r="AT21" s="647"/>
      <c r="AU21" s="647"/>
      <c r="AV21" s="624" t="b">
        <f t="shared" si="1"/>
        <v>0</v>
      </c>
      <c r="AW21" s="624">
        <f t="shared" si="2"/>
        <v>0</v>
      </c>
      <c r="AX21" s="624" t="b">
        <f t="shared" si="3"/>
        <v>0</v>
      </c>
      <c r="AY21" s="624">
        <f t="shared" si="4"/>
        <v>0</v>
      </c>
      <c r="AZ21" s="624" t="b">
        <f t="shared" si="5"/>
        <v>0</v>
      </c>
      <c r="BA21" s="624">
        <f t="shared" si="6"/>
        <v>0</v>
      </c>
      <c r="BB21" s="624">
        <f t="shared" si="7"/>
        <v>210</v>
      </c>
      <c r="BC21" s="624">
        <f t="shared" si="8"/>
        <v>105</v>
      </c>
      <c r="BD21" s="624" t="b">
        <f t="shared" si="9"/>
        <v>0</v>
      </c>
      <c r="BE21" s="624">
        <f t="shared" si="10"/>
        <v>0</v>
      </c>
      <c r="BF21" s="624">
        <f t="shared" si="11"/>
        <v>45.22</v>
      </c>
      <c r="BG21" s="624" t="b">
        <f t="shared" si="12"/>
        <v>0</v>
      </c>
      <c r="BH21" s="624" t="b">
        <f t="shared" si="13"/>
        <v>0</v>
      </c>
      <c r="BI21" s="624" t="b">
        <f t="shared" si="14"/>
        <v>0</v>
      </c>
      <c r="BJ21" s="624" t="b">
        <f t="shared" si="15"/>
        <v>0</v>
      </c>
      <c r="BK21" s="624" t="b">
        <f t="shared" si="16"/>
        <v>0</v>
      </c>
      <c r="BL21" s="624" t="b">
        <f t="shared" si="17"/>
        <v>0</v>
      </c>
      <c r="BM21" s="624" t="b">
        <f t="shared" si="18"/>
        <v>0</v>
      </c>
      <c r="BN21" s="624" t="b">
        <f t="shared" si="19"/>
        <v>0</v>
      </c>
      <c r="BO21" s="624" t="b">
        <f t="shared" si="20"/>
        <v>0</v>
      </c>
      <c r="BP21" s="624" t="b">
        <f t="shared" si="21"/>
        <v>0</v>
      </c>
      <c r="BQ21" s="624" t="b">
        <f t="shared" si="22"/>
        <v>0</v>
      </c>
    </row>
    <row r="22" spans="1:69">
      <c r="A22" s="1091"/>
      <c r="B22" s="644"/>
      <c r="C22" s="872"/>
      <c r="D22" s="645"/>
      <c r="E22" s="645"/>
      <c r="F22" s="644"/>
      <c r="G22" s="644"/>
      <c r="H22" s="644"/>
      <c r="I22" s="635"/>
      <c r="J22" s="644">
        <f>IF(F22&lt;=1966,'Założenia,wskaźniki, listy'!$H$4,IF(F22&gt;1966,IF(F22&lt;=1985,'Założenia,wskaźniki, listy'!$H$5,IF(F22&gt;1985,IF(F22&lt;=1992,'Założenia,wskaźniki, listy'!$H$6,IF(F22&gt;1992,IF(F22&lt;=1996,'Założenia,wskaźniki, listy'!$H$7,IF(F22&gt;1996,IF(F22&lt;=2015,'Założenia,wskaźniki, listy'!$H$8)))))))))</f>
        <v>290</v>
      </c>
      <c r="K22" s="864"/>
      <c r="L22" s="644" t="s">
        <v>79</v>
      </c>
      <c r="M22" s="644">
        <v>2</v>
      </c>
      <c r="N22" s="644"/>
      <c r="O22" s="637">
        <f t="shared" ref="O22" si="52">IF(P22&gt;0,(Q22+R22+P22)/2,Q22+R22)</f>
        <v>30</v>
      </c>
      <c r="P22" s="646">
        <f>IF(K22="kompletna",J22*G22*0.0036*'Założenia,wskaźniki, listy'!$P$9,IF(K22="częściowa",J22*G22*0.0036*'Założenia,wskaźniki, listy'!$P$10,IF(K22="brak",J22*G22*0.0036*'Założenia,wskaźniki, listy'!$P$11,0)))</f>
        <v>0</v>
      </c>
      <c r="Q22" s="638">
        <f>H22*'Założenia,wskaźniki, listy'!$L$15</f>
        <v>0</v>
      </c>
      <c r="R22" s="635">
        <f>IF(L22="węgiel",'Mieszkalne - baza'!M22*'Założenia,wskaźniki, listy'!$B$4,IF(L22="gaz",'Mieszkalne - baza'!M22*'Założenia,wskaźniki, listy'!$B$5,IF(L22="drewno",'Mieszkalne - baza'!M22*'Założenia,wskaźniki, listy'!$B$6,IF(L22="pelet",'Mieszkalne - baza'!M22*'Założenia,wskaźniki, listy'!$B$7,IF(L22="olej opałowy",'Mieszkalne - baza'!M22*'Założenia,wskaźniki, listy'!$B$8,IF(L22="sieć ciepłownicza",0,0))))))</f>
        <v>30</v>
      </c>
      <c r="S22" s="1085"/>
      <c r="T22" s="639">
        <f>IF(L22="węgiel",R22*'Założenia,wskaźniki, listy'!$C$44,IF(L22="gaz",R22*'Założenia,wskaźniki, listy'!$D$44,IF(L22="drewno",R22*'Założenia,wskaźniki, listy'!$E$44,IF(L22="pelet",R22*'Założenia,wskaźniki, listy'!$F$44,IF(L22="olej opałowy",R22*'Założenia,wskaźniki, listy'!$G$44,IF(L22="sieć ciepłownicza",0,IF(L22="prąd",0,0)))))))</f>
        <v>1.44E-2</v>
      </c>
      <c r="U22" s="639">
        <f>IF(L22="węgiel",R22*'Założenia,wskaźniki, listy'!$C$45,IF(L22="gaz",R22*'Założenia,wskaźniki, listy'!$D$45,IF(L22="drewno",R22*'Założenia,wskaźniki, listy'!$E$45,IF(L22="pelet",R22*'Założenia,wskaźniki, listy'!$F$45,IF(L22="olej opałowy",R22*'Założenia,wskaźniki, listy'!$G$45,IF(L22="sieć ciepłownicza",0,IF(L22="prąd",0,0)))))))</f>
        <v>1.41E-2</v>
      </c>
      <c r="V22" s="639">
        <f>IF(L22="węgiel",R22*'Założenia,wskaźniki, listy'!$C$46,IF(L22="gaz",R22*'Założenia,wskaźniki, listy'!$D$46,IF(L22="drewno",R22*'Założenia,wskaźniki, listy'!$E$46,IF(L22="pelet",R22*'Założenia,wskaźniki, listy'!$F$46,IF(L22="olej opałowy",R22*'Założenia,wskaźniki, listy'!$G$46,IF(L22="sieć ciepłownicza",R22*'Założenia,wskaźniki, listy'!$H$46,IF(L22="prąd",R22*'Założenia,wskaźniki, listy'!$I$46,0)))))))</f>
        <v>0</v>
      </c>
      <c r="W22" s="639">
        <f>IF(L22="węgiel",R22*'Założenia,wskaźniki, listy'!$C$47,IF(L22="gaz",R22*'Założenia,wskaźniki, listy'!$D$47,IF(L22="drewno",R22*'Założenia,wskaźniki, listy'!$E$47,IF(L22="pelet",R22*'Założenia,wskaźniki, listy'!$F$47,IF(L22="olej opałowy",R22*'Założenia,wskaźniki, listy'!$G$47,IF(L22="sieć ciepłownicza",0,IF(L22="prąd",0,0)))))))</f>
        <v>3.6300000000000004E-6</v>
      </c>
      <c r="X22" s="639">
        <f>IF(L22="węgiel",R22*'Założenia,wskaźniki, listy'!$C$48, IF(L22="gaz",R22*'Założenia,wskaźniki, listy'!$D$48,IF(L22="drewno",R22*'Założenia,wskaźniki, listy'!$E$48,IF(L22="pelet",R22*'Założenia,wskaźniki, listy'!$F$48,IF(L22="olej opałowy",R22*'Założenia,wskaźniki, listy'!$G$48,IF(L22="sieć ciepłownicza",0,IF(L22="prąd",0,0)))))))</f>
        <v>3.3E-4</v>
      </c>
      <c r="Y22" s="639">
        <f>IF(L22="węgiel",R22*'Założenia,wskaźniki, listy'!$C$49, IF(L22="gaz",R22*'Założenia,wskaźniki, listy'!$D$49, IF(L22="drewno",R22*'Założenia,wskaźniki, listy'!$E$49,IF(L22="pelet",R22*'Założenia,wskaźniki, listy'!$F$49,IF(L22="olej opałowy",R22*'Założenia,wskaźniki, listy'!$G$49,IF(L22="sieć ciepłownicza",0,IF(L22="prąd",0,0)))))))</f>
        <v>2.4000000000000002E-3</v>
      </c>
      <c r="Z22" s="639">
        <f>IF(L22="węgiel",R22*'Założenia,wskaźniki, listy'!$C$50,IF(L22="gaz",R22*'Założenia,wskaźniki, listy'!$D$50, IF(L22="drewno",R22*'Założenia,wskaźniki, listy'!$E$50,IF(L22="pelet",R22*'Założenia,wskaźniki, listy'!$F$50,IF(L22="pelet",R22*'Założenia,wskaźniki, listy'!$F$50,IF(L22="olej opałowy",R22*'Założenia,wskaźniki, listy'!$G$50,IF(L22="sieć ciepłownicza",0,IF(L22="prąd",0,0))))))))</f>
        <v>5.3819999999999996E-3</v>
      </c>
      <c r="AA22" s="639">
        <f>IF(N22="węgiel",Q22*'Założenia,wskaźniki, listy'!$C$44,IF(N22="gaz",Q22*'Założenia,wskaźniki, listy'!$D$44,IF(N22="drewno",Q22*'Założenia,wskaźniki, listy'!$E$44,IF(N22="pelet",Q22*'Założenia,wskaźniki, listy'!$G$44,IF(N22="olej opałowy",Q22*'Założenia,wskaźniki, listy'!$G$44,IF(N22="sieć ciepłownicza",0,IF(N22="prąd",0,0)))))))</f>
        <v>0</v>
      </c>
      <c r="AB22" s="639">
        <f>IF(N22="węgiel",Q22*'Założenia,wskaźniki, listy'!$C$45,IF(N22="gaz",Q22*'Założenia,wskaźniki, listy'!$D$45,IF(N22="drewno",Q22*'Założenia,wskaźniki, listy'!$E$45,IF(N22="pelet",Q22*'Założenia,wskaźniki, listy'!$G$45,IF(N22="olej opałowy",Q22*'Założenia,wskaźniki, listy'!$G$45,IF(N22="sieć ciepłownicza",0,IF(N22="prąd",0,0)))))))</f>
        <v>0</v>
      </c>
      <c r="AC22" s="639">
        <f>IF(N22="węgiel",Q22*'Założenia,wskaźniki, listy'!$C$46,IF(N22="gaz",Q22*'Założenia,wskaźniki, listy'!$D$46,IF(N22="drewno",Q22*'Założenia,wskaźniki, listy'!$E$46,IF(N22="pelet",Q22*'Założenia,wskaźniki, listy'!$G$46,IF(N22="olej opałowy",Q22*'Założenia,wskaźniki, listy'!$G$46,IF(N22="sieć ciepłownicza",0,IF(N22="prąd",0,0)))))))</f>
        <v>0</v>
      </c>
      <c r="AD22" s="639">
        <f>IF(N22="węgiel",Q22*'Założenia,wskaźniki, listy'!$C$47,IF(N22="gaz",Q22*'Założenia,wskaźniki, listy'!$D$47,IF(N22="drewno",Q22*'Założenia,wskaźniki, listy'!$E$47,IF(N22="pelet",Q22*'Założenia,wskaźniki, listy'!$G$47,IF(N22="olej opałowy",Q22*'Założenia,wskaźniki, listy'!$G$47,IF(N22="sieć ciepłownicza",0,IF(N22="prąd",0,0)))))))</f>
        <v>0</v>
      </c>
      <c r="AE22" s="639">
        <f>IF(N22="węgiel",Q22*'Założenia,wskaźniki, listy'!$C$48,IF(N22="gaz",Q22*'Założenia,wskaźniki, listy'!$D$48,IF(N22="drewno",Q22*'Założenia,wskaźniki, listy'!$E$48,IF(N22="pelet",Q22*'Założenia,wskaźniki, listy'!$G$48,IF(N22="olej opałowy",Q22*'Założenia,wskaźniki, listy'!$G$48,IF(N22="sieć ciepłownicza",0,IF(N22="prąd",0,0)))))))</f>
        <v>0</v>
      </c>
      <c r="AF22" s="639">
        <f>IF(N22="węgiel",Q22*'Założenia,wskaźniki, listy'!$C$49,IF(N22="gaz",Q22*'Założenia,wskaźniki, listy'!$D$49,IF(N22="drewno",Q22*'Założenia,wskaźniki, listy'!$E$49,IF(N22="pelet",Q22*'Założenia,wskaźniki, listy'!$G$49,IF(N22="olej opałowy",Q22*'Założenia,wskaźniki, listy'!$G$49,IF(N22="sieć ciepłownicza",0,IF(N22="prąd",0,0)))))))</f>
        <v>0</v>
      </c>
      <c r="AG22" s="639">
        <f>IF(N22="węgiel",Q22*'Założenia,wskaźniki, listy'!$C$50,IF(N22="gaz",Q22*'Założenia,wskaźniki, listy'!$D$50,IF(N22="drewno",Q22*'Założenia,wskaźniki, listy'!$E$50,IF(N22="pelet",Q22*'Założenia,wskaźniki, listy'!$G$50,IF(N22="olej opałowy",Q22*'Założenia,wskaźniki, listy'!$G$50,IF(N22="sieć ciepłownicza",0,IF(N22="prąd",0,0)))))))</f>
        <v>0</v>
      </c>
      <c r="AH22" s="640">
        <f>IF(L22="węgiel",(P22+R22)/2*'Założenia,wskaźniki, listy'!$C$4,IF(L22="gaz",(P22+R22)/2*'Założenia,wskaźniki, listy'!$C$5,IF(L22="drewno",(P22+R22)/2*'Założenia,wskaźniki, listy'!$C$6,IF(L22="pelet",(P22+R22)/2*'Założenia,wskaźniki, listy'!$C$7,IF(L22="olej opałowy",(P22+R22)/2*'Założenia,wskaźniki, listy'!$C$8,IF(L22="sieć ciepłownicza",(P22+R22)/2*'Założenia,wskaźniki, listy'!$C$9,IF(L22="sieć ciepłownicza",(P22+R22)/2*'Założenia,wskaźniki, listy'!$C$10,)))))))</f>
        <v>570</v>
      </c>
      <c r="AI22" s="640">
        <f>IF(N22="węgiel",Q22*'Założenia,wskaźniki, listy'!$C$4,IF(N22="gaz",Q22*'Założenia,wskaźniki, listy'!$C$5,IF(N22="drewno",Q22*'Założenia,wskaźniki, listy'!$C$6,IF(N22="pelet",Q22*'Założenia,wskaźniki, listy'!$C$7,IF(N22="olej opałowy",Q22*'Założenia,wskaźniki, listy'!$C$8,IF(N22="sieć ciepłownicza",Q22*'Założenia,wskaźniki, listy'!$C$9,IF(N22="sieć ciepłownicza",Q22*'Założenia,wskaźniki, listy'!$C$10,0)))))))</f>
        <v>0</v>
      </c>
      <c r="AJ22" s="640">
        <f>S22*'Założenia,wskaźniki, listy'!$B$64*1000</f>
        <v>0</v>
      </c>
      <c r="AK22" s="640">
        <f>(H22+I22)*'Założenia,wskaźniki, listy'!$D$64*12</f>
        <v>0</v>
      </c>
      <c r="AL22" s="640">
        <f>AK22*'Założenia,wskaźniki, listy'!$F$64</f>
        <v>0</v>
      </c>
      <c r="AM22" s="639">
        <f t="shared" ref="AM22" si="53">T22+AA22</f>
        <v>1.44E-2</v>
      </c>
      <c r="AN22" s="639">
        <f t="shared" ref="AN22" si="54">U22+AB22</f>
        <v>1.41E-2</v>
      </c>
      <c r="AO22" s="639">
        <f>V22+AC22+S22*'Założenia,wskaźniki, listy'!$J$46</f>
        <v>0</v>
      </c>
      <c r="AP22" s="639">
        <f t="shared" ref="AP22" si="55">W22+AD22</f>
        <v>3.6300000000000004E-6</v>
      </c>
      <c r="AQ22" s="639">
        <f t="shared" ref="AQ22" si="56">X22+AE22</f>
        <v>3.3E-4</v>
      </c>
      <c r="AR22" s="639">
        <f t="shared" ref="AR22" si="57">Y22+AF22</f>
        <v>2.4000000000000002E-3</v>
      </c>
      <c r="AS22" s="639">
        <f t="shared" ref="AS22" si="58">Z22+AG22</f>
        <v>5.3819999999999996E-3</v>
      </c>
      <c r="AT22" s="647"/>
      <c r="AU22" s="647"/>
      <c r="AV22" s="624">
        <f t="shared" si="1"/>
        <v>0</v>
      </c>
      <c r="AW22" s="624" t="b">
        <f t="shared" si="2"/>
        <v>0</v>
      </c>
      <c r="AX22" s="624" t="b">
        <f t="shared" si="3"/>
        <v>0</v>
      </c>
      <c r="AY22" s="624" t="b">
        <f t="shared" si="4"/>
        <v>0</v>
      </c>
      <c r="AZ22" s="624" t="b">
        <f t="shared" si="5"/>
        <v>0</v>
      </c>
      <c r="BA22" s="624" t="b">
        <f t="shared" si="6"/>
        <v>0</v>
      </c>
      <c r="BB22" s="624" t="b">
        <f t="shared" si="7"/>
        <v>0</v>
      </c>
      <c r="BC22" s="624" t="b">
        <f t="shared" si="8"/>
        <v>0</v>
      </c>
      <c r="BD22" s="624" t="b">
        <f t="shared" si="9"/>
        <v>0</v>
      </c>
      <c r="BE22" s="624" t="b">
        <f t="shared" si="10"/>
        <v>0</v>
      </c>
      <c r="BF22" s="624" t="b">
        <f t="shared" si="11"/>
        <v>0</v>
      </c>
      <c r="BG22" s="624" t="b">
        <f t="shared" si="12"/>
        <v>0</v>
      </c>
      <c r="BH22" s="624">
        <f t="shared" si="13"/>
        <v>30</v>
      </c>
      <c r="BI22" s="624" t="b">
        <f t="shared" si="14"/>
        <v>0</v>
      </c>
      <c r="BJ22" s="624" t="b">
        <f t="shared" si="15"/>
        <v>0</v>
      </c>
      <c r="BK22" s="624" t="b">
        <f t="shared" si="16"/>
        <v>0</v>
      </c>
      <c r="BL22" s="624" t="b">
        <f t="shared" si="17"/>
        <v>0</v>
      </c>
      <c r="BM22" s="624" t="b">
        <f t="shared" si="18"/>
        <v>0</v>
      </c>
      <c r="BN22" s="624" t="b">
        <f t="shared" si="19"/>
        <v>0</v>
      </c>
      <c r="BO22" s="624" t="b">
        <f t="shared" si="20"/>
        <v>0</v>
      </c>
      <c r="BP22" s="624" t="b">
        <f t="shared" si="21"/>
        <v>0</v>
      </c>
      <c r="BQ22" s="624" t="b">
        <f t="shared" si="22"/>
        <v>0</v>
      </c>
    </row>
    <row r="23" spans="1:69">
      <c r="A23" s="1086">
        <v>10</v>
      </c>
      <c r="B23" s="872" t="s">
        <v>21</v>
      </c>
      <c r="C23" s="873" t="s">
        <v>621</v>
      </c>
      <c r="D23" s="636" t="s">
        <v>622</v>
      </c>
      <c r="E23" s="645">
        <v>16</v>
      </c>
      <c r="F23" s="635">
        <v>1990</v>
      </c>
      <c r="G23" s="644">
        <v>230</v>
      </c>
      <c r="H23" s="644"/>
      <c r="I23" s="635"/>
      <c r="J23" s="644">
        <f>IF(F23&lt;=1966,'Założenia,wskaźniki, listy'!$H$4,IF(F23&gt;1966,IF(F23&lt;=1985,'Założenia,wskaźniki, listy'!$H$5,IF(F23&gt;1985,IF(F23&lt;=1992,'Założenia,wskaźniki, listy'!$H$6,IF(F23&gt;1992,IF(F23&lt;=1996,'Założenia,wskaźniki, listy'!$H$7,IF(F23&gt;1996,IF(F23&lt;=2013,'Założenia,wskaźniki, listy'!$H$8)))))))))</f>
        <v>175</v>
      </c>
      <c r="K23" s="864" t="s">
        <v>31</v>
      </c>
      <c r="L23" s="644" t="s">
        <v>8</v>
      </c>
      <c r="M23" s="644">
        <v>3</v>
      </c>
      <c r="N23" s="644"/>
      <c r="O23" s="637">
        <f t="shared" si="23"/>
        <v>106.36500000000001</v>
      </c>
      <c r="P23" s="646">
        <f>IF(K23="kompletna",J23*G23*0.0036*'Założenia,wskaźniki, listy'!$P$9,IF(K23="częściowa",J23*G23*0.0036*'Założenia,wskaźniki, listy'!$P$10,IF(K23="brak",J23*G23*0.0036*'Założenia,wskaźniki, listy'!$P$11,0)))</f>
        <v>144.9</v>
      </c>
      <c r="Q23" s="638">
        <f>H23*'Założenia,wskaźniki, listy'!$L$15</f>
        <v>0</v>
      </c>
      <c r="R23" s="635">
        <f>IF(L23="węgiel",'Mieszkalne - baza'!M23*'Założenia,wskaźniki, listy'!$B$4,IF(L23="gaz",'Mieszkalne - baza'!M23*'Założenia,wskaźniki, listy'!$B$5,IF(L23="drewno",'Mieszkalne - baza'!M23*'Założenia,wskaźniki, listy'!$B$6,IF(L23="pelet",'Mieszkalne - baza'!M23*'Założenia,wskaźniki, listy'!$B$7,IF(L23="olej opałowy",'Mieszkalne - baza'!M23*'Założenia,wskaźniki, listy'!$B$8,IF(L23="sieć ciepłownicza",0,0))))))</f>
        <v>67.83</v>
      </c>
      <c r="S23" s="1084">
        <v>1.6355999999999999</v>
      </c>
      <c r="T23" s="639">
        <f>IF(L23="węgiel",R23*'Założenia,wskaźniki, listy'!$C$44,IF(L23="gaz",R23*'Założenia,wskaźniki, listy'!$D$44,IF(L23="drewno",R23*'Założenia,wskaźniki, listy'!$E$44,IF(L23="pelet",R23*'Założenia,wskaźniki, listy'!$F$44,IF(L23="olej opałowy",R23*'Założenia,wskaźniki, listy'!$G$44,IF(L23="sieć ciepłownicza",0,IF(L23="prąd",0,0)))))))</f>
        <v>1.5261749999999999E-2</v>
      </c>
      <c r="U23" s="639">
        <f>IF(L23="węgiel",R23*'Założenia,wskaźniki, listy'!$C$45,IF(L23="gaz",R23*'Założenia,wskaźniki, listy'!$D$45,IF(L23="drewno",R23*'Założenia,wskaźniki, listy'!$E$45,IF(L23="pelet",R23*'Założenia,wskaźniki, listy'!$F$45,IF(L23="olej opałowy",R23*'Założenia,wskaźniki, listy'!$G$45,IF(L23="sieć ciepłownicza",0,IF(L23="prąd",0,0)))))))</f>
        <v>1.363383E-2</v>
      </c>
      <c r="V23" s="639">
        <f>IF(L23="węgiel",R23*'Założenia,wskaźniki, listy'!$C$46,IF(L23="gaz",R23*'Założenia,wskaźniki, listy'!$D$46,IF(L23="drewno",R23*'Założenia,wskaźniki, listy'!$E$46,IF(L23="pelet",R23*'Założenia,wskaźniki, listy'!$F$46,IF(L23="olej opałowy",R23*'Założenia,wskaźniki, listy'!$G$46,IF(L23="sieć ciepłownicza",R23*'Założenia,wskaźniki, listy'!$H$46,IF(L23="prąd",R23*'Założenia,wskaźniki, listy'!$I$46,0)))))))</f>
        <v>6.3583841999999988</v>
      </c>
      <c r="W23" s="639">
        <f>IF(L23="węgiel",R23*'Założenia,wskaźniki, listy'!$C$47,IF(L23="gaz",R23*'Założenia,wskaźniki, listy'!$D$47,IF(L23="drewno",R23*'Założenia,wskaźniki, listy'!$E$47,IF(L23="pelet",R23*'Założenia,wskaźniki, listy'!$F$47,IF(L23="olej opałowy",R23*'Założenia,wskaźniki, listy'!$G$47,IF(L23="sieć ciepłownicza",0,IF(L23="prąd",0,0)))))))</f>
        <v>1.8314100000000001E-5</v>
      </c>
      <c r="X23" s="639">
        <f>IF(L23="węgiel",R23*'Założenia,wskaźniki, listy'!$C$48, IF(L23="gaz",R23*'Założenia,wskaźniki, listy'!$D$48,IF(L23="drewno",R23*'Założenia,wskaźniki, listy'!$E$48,IF(L23="pelet",R23*'Założenia,wskaźniki, listy'!$F$48,IF(L23="olej opałowy",R23*'Założenia,wskaźniki, listy'!$G$48,IF(L23="sieć ciepłownicza",0,IF(L23="prąd",0,0)))))))</f>
        <v>6.1046999999999997E-2</v>
      </c>
      <c r="Y23" s="639">
        <f>IF(L23="węgiel",R23*'Założenia,wskaźniki, listy'!$C$49, IF(L23="gaz",R23*'Założenia,wskaźniki, listy'!$D$49, IF(L23="drewno",R23*'Założenia,wskaźniki, listy'!$E$49,IF(L23="pelet",R23*'Założenia,wskaźniki, listy'!$F$49,IF(L23="olej opałowy",R23*'Założenia,wskaźniki, listy'!$G$49,IF(L23="sieć ciepłownicza",0,IF(L23="prąd",0,0)))))))</f>
        <v>1.071714E-2</v>
      </c>
      <c r="Z23" s="639">
        <f>IF(L23="węgiel",R23*'Założenia,wskaźniki, listy'!$C$50,IF(L23="gaz",R23*'Założenia,wskaźniki, listy'!$D$50, IF(L23="drewno",R23*'Założenia,wskaźniki, listy'!$E$50,IF(L23="pelet",R23*'Założenia,wskaźniki, listy'!$F$50,IF(L23="pelet",R23*'Założenia,wskaźniki, listy'!$F$50,IF(L23="olej opałowy",R23*'Założenia,wskaźniki, listy'!$G$50,IF(L23="sieć ciepłownicza",0,IF(L23="prąd",0,0))))))))</f>
        <v>0.13644836835046936</v>
      </c>
      <c r="AA23" s="639">
        <f>IF(N23="węgiel",Q23*'Założenia,wskaźniki, listy'!$C$44,IF(N23="gaz",Q23*'Założenia,wskaźniki, listy'!$D$44,IF(N23="drewno",Q23*'Założenia,wskaźniki, listy'!$E$44,IF(N23="pelet",Q23*'Założenia,wskaźniki, listy'!$G$44,IF(N23="olej opałowy",Q23*'Założenia,wskaźniki, listy'!$G$44,IF(N23="sieć ciepłownicza",0,IF(N23="prąd",0,0)))))))</f>
        <v>0</v>
      </c>
      <c r="AB23" s="639">
        <f>IF(N23="węgiel",Q23*'Założenia,wskaźniki, listy'!$C$45,IF(N23="gaz",Q23*'Założenia,wskaźniki, listy'!$D$45,IF(N23="drewno",Q23*'Założenia,wskaźniki, listy'!$E$45,IF(N23="pelet",Q23*'Założenia,wskaźniki, listy'!$G$45,IF(N23="olej opałowy",Q23*'Założenia,wskaźniki, listy'!$G$45,IF(N23="sieć ciepłownicza",0,IF(N23="prąd",0,0)))))))</f>
        <v>0</v>
      </c>
      <c r="AC23" s="639">
        <f>IF(N23="węgiel",Q23*'Założenia,wskaźniki, listy'!$C$46,IF(N23="gaz",Q23*'Założenia,wskaźniki, listy'!$D$46,IF(N23="drewno",Q23*'Założenia,wskaźniki, listy'!$E$46,IF(N23="pelet",Q23*'Założenia,wskaźniki, listy'!$G$46,IF(N23="olej opałowy",Q23*'Założenia,wskaźniki, listy'!$G$46,IF(N23="sieć ciepłownicza",0,IF(N23="prąd",0,0)))))))</f>
        <v>0</v>
      </c>
      <c r="AD23" s="639">
        <f>IF(N23="węgiel",Q23*'Założenia,wskaźniki, listy'!$C$47,IF(N23="gaz",Q23*'Założenia,wskaźniki, listy'!$D$47,IF(N23="drewno",Q23*'Założenia,wskaźniki, listy'!$E$47,IF(N23="pelet",Q23*'Założenia,wskaźniki, listy'!$G$47,IF(N23="olej opałowy",Q23*'Założenia,wskaźniki, listy'!$G$47,IF(N23="sieć ciepłownicza",0,IF(N23="prąd",0,0)))))))</f>
        <v>0</v>
      </c>
      <c r="AE23" s="639">
        <f>IF(N23="węgiel",Q23*'Założenia,wskaźniki, listy'!$C$48,IF(N23="gaz",Q23*'Założenia,wskaźniki, listy'!$D$48,IF(N23="drewno",Q23*'Założenia,wskaźniki, listy'!$E$48,IF(N23="pelet",Q23*'Założenia,wskaźniki, listy'!$G$48,IF(N23="olej opałowy",Q23*'Założenia,wskaźniki, listy'!$G$48,IF(N23="sieć ciepłownicza",0,IF(N23="prąd",0,0)))))))</f>
        <v>0</v>
      </c>
      <c r="AF23" s="639">
        <f>IF(N23="węgiel",Q23*'Założenia,wskaźniki, listy'!$C$49,IF(N23="gaz",Q23*'Założenia,wskaźniki, listy'!$D$49,IF(N23="drewno",Q23*'Założenia,wskaźniki, listy'!$E$49,IF(N23="pelet",Q23*'Założenia,wskaźniki, listy'!$G$49,IF(N23="olej opałowy",Q23*'Założenia,wskaźniki, listy'!$G$49,IF(N23="sieć ciepłownicza",0,IF(N23="prąd",0,0)))))))</f>
        <v>0</v>
      </c>
      <c r="AG23" s="639">
        <f>IF(N23="węgiel",Q23*'Założenia,wskaźniki, listy'!$C$50,IF(N23="gaz",Q23*'Założenia,wskaźniki, listy'!$D$50,IF(N23="drewno",Q23*'Założenia,wskaźniki, listy'!$E$50,IF(N23="pelet",Q23*'Założenia,wskaźniki, listy'!$G$50,IF(N23="olej opałowy",Q23*'Założenia,wskaźniki, listy'!$G$50,IF(N23="sieć ciepłownicza",0,IF(N23="prąd",0,0)))))))</f>
        <v>0</v>
      </c>
      <c r="AH23" s="640">
        <f>IF(L23="węgiel",(P23+R23)/2*'Założenia,wskaźniki, listy'!$C$4,IF(L23="gaz",(P23+R23)/2*'Założenia,wskaźniki, listy'!$C$5,IF(L23="drewno",(P23+R23)/2*'Założenia,wskaźniki, listy'!$C$6,IF(L23="pelet",(P23+R23)/2*'Założenia,wskaźniki, listy'!$C$7,IF(L23="olej opałowy",(P23+R23)/2*'Założenia,wskaźniki, listy'!$C$8,IF(L23="sieć ciepłownicza",(P23+R23)/2*'Założenia,wskaźniki, listy'!$C$9,IF(L23="sieć ciepłownicza",(P23+R23)/2*'Założenia,wskaźniki, listy'!$C$10,)))))))</f>
        <v>4360.9650000000001</v>
      </c>
      <c r="AI23" s="640">
        <f>IF(N23="węgiel",Q23*'Założenia,wskaźniki, listy'!$C$4,IF(N23="gaz",Q23*'Założenia,wskaźniki, listy'!$C$5,IF(N23="drewno",Q23*'Założenia,wskaźniki, listy'!$C$6,IF(N23="pelet",Q23*'Założenia,wskaźniki, listy'!$C$7,IF(N23="olej opałowy",Q23*'Założenia,wskaźniki, listy'!$C$8,IF(N23="sieć ciepłownicza",Q23*'Założenia,wskaźniki, listy'!$C$9,IF(N23="sieć ciepłownicza",Q23*'Założenia,wskaźniki, listy'!$C$10,0)))))))</f>
        <v>0</v>
      </c>
      <c r="AJ23" s="640">
        <f>S23*'Założenia,wskaźniki, listy'!$B$64*1000</f>
        <v>1161.2760000000001</v>
      </c>
      <c r="AK23" s="640">
        <f>(H23+I23)*'Założenia,wskaźniki, listy'!$D$64*12</f>
        <v>0</v>
      </c>
      <c r="AL23" s="640">
        <f>AK23*'Założenia,wskaźniki, listy'!$F$64</f>
        <v>0</v>
      </c>
      <c r="AM23" s="639">
        <f t="shared" si="24"/>
        <v>1.5261749999999999E-2</v>
      </c>
      <c r="AN23" s="639">
        <f t="shared" si="25"/>
        <v>1.363383E-2</v>
      </c>
      <c r="AO23" s="639">
        <f>V23+AC23+S23*'Założenia,wskaźniki, listy'!$J$46</f>
        <v>7.7183855999999986</v>
      </c>
      <c r="AP23" s="639">
        <f t="shared" si="26"/>
        <v>1.8314100000000001E-5</v>
      </c>
      <c r="AQ23" s="639">
        <f t="shared" si="27"/>
        <v>6.1046999999999997E-2</v>
      </c>
      <c r="AR23" s="639">
        <f t="shared" si="28"/>
        <v>1.071714E-2</v>
      </c>
      <c r="AS23" s="639">
        <f t="shared" si="29"/>
        <v>0.13644836835046936</v>
      </c>
      <c r="AT23" s="647"/>
      <c r="AU23" s="647"/>
      <c r="AV23" s="624" t="b">
        <f t="shared" si="1"/>
        <v>0</v>
      </c>
      <c r="AW23" s="624" t="b">
        <f t="shared" si="2"/>
        <v>0</v>
      </c>
      <c r="AX23" s="624" t="b">
        <f t="shared" si="3"/>
        <v>0</v>
      </c>
      <c r="AY23" s="624" t="b">
        <f t="shared" si="4"/>
        <v>0</v>
      </c>
      <c r="AZ23" s="624">
        <f t="shared" si="5"/>
        <v>230</v>
      </c>
      <c r="BA23" s="624" t="b">
        <f t="shared" si="6"/>
        <v>0</v>
      </c>
      <c r="BB23" s="624" t="b">
        <f t="shared" si="7"/>
        <v>0</v>
      </c>
      <c r="BC23" s="624" t="b">
        <f t="shared" si="8"/>
        <v>0</v>
      </c>
      <c r="BD23" s="624" t="b">
        <f t="shared" si="9"/>
        <v>0</v>
      </c>
      <c r="BE23" s="624" t="b">
        <f t="shared" si="10"/>
        <v>0</v>
      </c>
      <c r="BF23" s="624">
        <f t="shared" si="11"/>
        <v>67.83</v>
      </c>
      <c r="BG23" s="624" t="b">
        <f t="shared" si="12"/>
        <v>0</v>
      </c>
      <c r="BH23" s="624" t="b">
        <f t="shared" si="13"/>
        <v>0</v>
      </c>
      <c r="BI23" s="624" t="b">
        <f t="shared" si="14"/>
        <v>0</v>
      </c>
      <c r="BJ23" s="624" t="b">
        <f t="shared" si="15"/>
        <v>0</v>
      </c>
      <c r="BK23" s="624" t="b">
        <f t="shared" si="16"/>
        <v>0</v>
      </c>
      <c r="BL23" s="624" t="b">
        <f t="shared" si="17"/>
        <v>0</v>
      </c>
      <c r="BM23" s="624" t="b">
        <f t="shared" si="18"/>
        <v>0</v>
      </c>
      <c r="BN23" s="624" t="b">
        <f t="shared" si="19"/>
        <v>0</v>
      </c>
      <c r="BO23" s="624" t="b">
        <f t="shared" si="20"/>
        <v>0</v>
      </c>
      <c r="BP23" s="624" t="b">
        <f t="shared" si="21"/>
        <v>0</v>
      </c>
      <c r="BQ23" s="624" t="b">
        <f t="shared" si="22"/>
        <v>0</v>
      </c>
    </row>
    <row r="24" spans="1:69" ht="8.25" customHeight="1">
      <c r="A24" s="1086"/>
      <c r="B24" s="872"/>
      <c r="C24" s="872"/>
      <c r="D24" s="645"/>
      <c r="E24" s="645"/>
      <c r="F24" s="644"/>
      <c r="G24" s="644"/>
      <c r="H24" s="644"/>
      <c r="I24" s="635"/>
      <c r="J24" s="644">
        <f>IF(F24&lt;=1966,'Założenia,wskaźniki, listy'!$H$4,IF(F24&gt;1966,IF(F24&lt;=1985,'Założenia,wskaźniki, listy'!$H$5,IF(F24&gt;1985,IF(F24&lt;=1992,'Założenia,wskaźniki, listy'!$H$6,IF(F24&gt;1992,IF(F24&lt;=1996,'Założenia,wskaźniki, listy'!$H$7,IF(F24&gt;1996,IF(F24&lt;=2013,'Założenia,wskaźniki, listy'!$H$8)))))))))</f>
        <v>290</v>
      </c>
      <c r="K24" s="864"/>
      <c r="L24" s="644" t="s">
        <v>79</v>
      </c>
      <c r="M24" s="644">
        <v>4</v>
      </c>
      <c r="N24" s="644"/>
      <c r="O24" s="637">
        <f t="shared" ref="O24" si="59">IF(P24&gt;0,(Q24+R24+P24)/2,Q24+R24)</f>
        <v>60</v>
      </c>
      <c r="P24" s="646">
        <f>IF(K24="kompletna",J24*G24*0.0036*'Założenia,wskaźniki, listy'!$P$9,IF(K24="częściowa",J24*G24*0.0036*'Założenia,wskaźniki, listy'!$P$10,IF(K24="brak",J24*G24*0.0036*'Założenia,wskaźniki, listy'!$P$11,0)))</f>
        <v>0</v>
      </c>
      <c r="Q24" s="638">
        <f>H24*'Założenia,wskaźniki, listy'!$L$15</f>
        <v>0</v>
      </c>
      <c r="R24" s="635">
        <f>IF(L24="węgiel",'Mieszkalne - baza'!M24*'Założenia,wskaźniki, listy'!$B$4,IF(L24="gaz",'Mieszkalne - baza'!M24*'Założenia,wskaźniki, listy'!$B$5,IF(L24="drewno",'Mieszkalne - baza'!M24*'Założenia,wskaźniki, listy'!$B$6,IF(L24="pelet",'Mieszkalne - baza'!M24*'Założenia,wskaźniki, listy'!$B$7,IF(L24="olej opałowy",'Mieszkalne - baza'!M24*'Założenia,wskaźniki, listy'!$B$8,IF(L24="sieć ciepłownicza",0,0))))))</f>
        <v>60</v>
      </c>
      <c r="S24" s="1085"/>
      <c r="T24" s="639">
        <f>IF(L24="węgiel",R24*'Założenia,wskaźniki, listy'!$C$44,IF(L24="gaz",R24*'Założenia,wskaźniki, listy'!$D$44,IF(L24="drewno",R24*'Założenia,wskaźniki, listy'!$E$44,IF(L24="pelet",R24*'Założenia,wskaźniki, listy'!$F$44,IF(L24="olej opałowy",R24*'Założenia,wskaźniki, listy'!$G$44,IF(L24="sieć ciepłownicza",0,IF(L24="prąd",0,0)))))))</f>
        <v>2.8799999999999999E-2</v>
      </c>
      <c r="U24" s="639">
        <f>IF(L24="węgiel",R24*'Założenia,wskaźniki, listy'!$C$45,IF(L24="gaz",R24*'Założenia,wskaźniki, listy'!$D$45,IF(L24="drewno",R24*'Założenia,wskaźniki, listy'!$E$45,IF(L24="pelet",R24*'Założenia,wskaźniki, listy'!$F$45,IF(L24="olej opałowy",R24*'Założenia,wskaźniki, listy'!$G$45,IF(L24="sieć ciepłownicza",0,IF(L24="prąd",0,0)))))))</f>
        <v>2.8199999999999999E-2</v>
      </c>
      <c r="V24" s="639">
        <f>IF(L24="węgiel",R24*'Założenia,wskaźniki, listy'!$C$46,IF(L24="gaz",R24*'Założenia,wskaźniki, listy'!$D$46,IF(L24="drewno",R24*'Założenia,wskaźniki, listy'!$E$46,IF(L24="pelet",R24*'Założenia,wskaźniki, listy'!$F$46,IF(L24="olej opałowy",R24*'Założenia,wskaźniki, listy'!$G$46,IF(L24="sieć ciepłownicza",R24*'Założenia,wskaźniki, listy'!$H$46,IF(L24="prąd",R24*'Założenia,wskaźniki, listy'!$I$46,0)))))))</f>
        <v>0</v>
      </c>
      <c r="W24" s="639">
        <f>IF(L24="węgiel",R24*'Założenia,wskaźniki, listy'!$C$47,IF(L24="gaz",R24*'Założenia,wskaźniki, listy'!$D$47,IF(L24="drewno",R24*'Założenia,wskaźniki, listy'!$E$47,IF(L24="pelet",R24*'Założenia,wskaźniki, listy'!$F$47,IF(L24="olej opałowy",R24*'Założenia,wskaźniki, listy'!$G$47,IF(L24="sieć ciepłownicza",0,IF(L24="prąd",0,0)))))))</f>
        <v>7.2600000000000008E-6</v>
      </c>
      <c r="X24" s="639">
        <f>IF(L24="węgiel",R24*'Założenia,wskaźniki, listy'!$C$48, IF(L24="gaz",R24*'Założenia,wskaźniki, listy'!$D$48,IF(L24="drewno",R24*'Założenia,wskaźniki, listy'!$E$48,IF(L24="pelet",R24*'Założenia,wskaźniki, listy'!$F$48,IF(L24="olej opałowy",R24*'Założenia,wskaźniki, listy'!$G$48,IF(L24="sieć ciepłownicza",0,IF(L24="prąd",0,0)))))))</f>
        <v>6.6E-4</v>
      </c>
      <c r="Y24" s="639">
        <f>IF(L24="węgiel",R24*'Założenia,wskaźniki, listy'!$C$49, IF(L24="gaz",R24*'Założenia,wskaźniki, listy'!$D$49, IF(L24="drewno",R24*'Założenia,wskaźniki, listy'!$E$49,IF(L24="pelet",R24*'Założenia,wskaźniki, listy'!$F$49,IF(L24="olej opałowy",R24*'Założenia,wskaźniki, listy'!$G$49,IF(L24="sieć ciepłownicza",0,IF(L24="prąd",0,0)))))))</f>
        <v>4.8000000000000004E-3</v>
      </c>
      <c r="Z24" s="639">
        <f>IF(L24="węgiel",R24*'Założenia,wskaźniki, listy'!$C$50,IF(L24="gaz",R24*'Założenia,wskaźniki, listy'!$D$50, IF(L24="drewno",R24*'Założenia,wskaźniki, listy'!$E$50,IF(L24="pelet",R24*'Założenia,wskaźniki, listy'!$F$50,IF(L24="pelet",R24*'Założenia,wskaźniki, listy'!$F$50,IF(L24="olej opałowy",R24*'Założenia,wskaźniki, listy'!$G$50,IF(L24="sieć ciepłownicza",0,IF(L24="prąd",0,0))))))))</f>
        <v>1.0763999999999999E-2</v>
      </c>
      <c r="AA24" s="639">
        <f>IF(N24="węgiel",Q24*'Założenia,wskaźniki, listy'!$C$44,IF(N24="gaz",Q24*'Założenia,wskaźniki, listy'!$D$44,IF(N24="drewno",Q24*'Założenia,wskaźniki, listy'!$E$44,IF(N24="pelet",Q24*'Założenia,wskaźniki, listy'!$G$44,IF(N24="olej opałowy",Q24*'Założenia,wskaźniki, listy'!$G$44,IF(N24="sieć ciepłownicza",0,IF(N24="prąd",0,0)))))))</f>
        <v>0</v>
      </c>
      <c r="AB24" s="639">
        <f>IF(N24="węgiel",Q24*'Założenia,wskaźniki, listy'!$C$45,IF(N24="gaz",Q24*'Założenia,wskaźniki, listy'!$D$45,IF(N24="drewno",Q24*'Założenia,wskaźniki, listy'!$E$45,IF(N24="pelet",Q24*'Założenia,wskaźniki, listy'!$G$45,IF(N24="olej opałowy",Q24*'Założenia,wskaźniki, listy'!$G$45,IF(N24="sieć ciepłownicza",0,IF(N24="prąd",0,0)))))))</f>
        <v>0</v>
      </c>
      <c r="AC24" s="639">
        <f>IF(N24="węgiel",Q24*'Założenia,wskaźniki, listy'!$C$46,IF(N24="gaz",Q24*'Założenia,wskaźniki, listy'!$D$46,IF(N24="drewno",Q24*'Założenia,wskaźniki, listy'!$E$46,IF(N24="pelet",Q24*'Założenia,wskaźniki, listy'!$G$46,IF(N24="olej opałowy",Q24*'Założenia,wskaźniki, listy'!$G$46,IF(N24="sieć ciepłownicza",0,IF(N24="prąd",0,0)))))))</f>
        <v>0</v>
      </c>
      <c r="AD24" s="639">
        <f>IF(N24="węgiel",Q24*'Założenia,wskaźniki, listy'!$C$47,IF(N24="gaz",Q24*'Założenia,wskaźniki, listy'!$D$47,IF(N24="drewno",Q24*'Założenia,wskaźniki, listy'!$E$47,IF(N24="pelet",Q24*'Założenia,wskaźniki, listy'!$G$47,IF(N24="olej opałowy",Q24*'Założenia,wskaźniki, listy'!$G$47,IF(N24="sieć ciepłownicza",0,IF(N24="prąd",0,0)))))))</f>
        <v>0</v>
      </c>
      <c r="AE24" s="639">
        <f>IF(N24="węgiel",Q24*'Założenia,wskaźniki, listy'!$C$48,IF(N24="gaz",Q24*'Założenia,wskaźniki, listy'!$D$48,IF(N24="drewno",Q24*'Założenia,wskaźniki, listy'!$E$48,IF(N24="pelet",Q24*'Założenia,wskaźniki, listy'!$G$48,IF(N24="olej opałowy",Q24*'Założenia,wskaźniki, listy'!$G$48,IF(N24="sieć ciepłownicza",0,IF(N24="prąd",0,0)))))))</f>
        <v>0</v>
      </c>
      <c r="AF24" s="639">
        <f>IF(N24="węgiel",Q24*'Założenia,wskaźniki, listy'!$C$49,IF(N24="gaz",Q24*'Założenia,wskaźniki, listy'!$D$49,IF(N24="drewno",Q24*'Założenia,wskaźniki, listy'!$E$49,IF(N24="pelet",Q24*'Założenia,wskaźniki, listy'!$G$49,IF(N24="olej opałowy",Q24*'Założenia,wskaźniki, listy'!$G$49,IF(N24="sieć ciepłownicza",0,IF(N24="prąd",0,0)))))))</f>
        <v>0</v>
      </c>
      <c r="AG24" s="639">
        <f>IF(N24="węgiel",Q24*'Założenia,wskaźniki, listy'!$C$50,IF(N24="gaz",Q24*'Założenia,wskaźniki, listy'!$D$50,IF(N24="drewno",Q24*'Założenia,wskaźniki, listy'!$E$50,IF(N24="pelet",Q24*'Założenia,wskaźniki, listy'!$G$50,IF(N24="olej opałowy",Q24*'Założenia,wskaźniki, listy'!$G$50,IF(N24="sieć ciepłownicza",0,IF(N24="prąd",0,0)))))))</f>
        <v>0</v>
      </c>
      <c r="AH24" s="640">
        <f>IF(L24="węgiel",(P24+R24)/2*'Założenia,wskaźniki, listy'!$C$4,IF(L24="gaz",(P24+R24)/2*'Założenia,wskaźniki, listy'!$C$5,IF(L24="drewno",(P24+R24)/2*'Założenia,wskaźniki, listy'!$C$6,IF(L24="pelet",(P24+R24)/2*'Założenia,wskaźniki, listy'!$C$7,IF(L24="olej opałowy",(P24+R24)/2*'Założenia,wskaźniki, listy'!$C$8,IF(L24="sieć ciepłownicza",(P24+R24)/2*'Założenia,wskaźniki, listy'!$C$9,IF(L24="sieć ciepłownicza",(P24+R24)/2*'Założenia,wskaźniki, listy'!$C$10,)))))))</f>
        <v>1140</v>
      </c>
      <c r="AI24" s="640">
        <f>IF(N24="węgiel",Q24*'Założenia,wskaźniki, listy'!$C$4,IF(N24="gaz",Q24*'Założenia,wskaźniki, listy'!$C$5,IF(N24="drewno",Q24*'Założenia,wskaźniki, listy'!$C$6,IF(N24="pelet",Q24*'Założenia,wskaźniki, listy'!$C$7,IF(N24="olej opałowy",Q24*'Założenia,wskaźniki, listy'!$C$8,IF(N24="sieć ciepłownicza",Q24*'Założenia,wskaźniki, listy'!$C$9,IF(N24="sieć ciepłownicza",Q24*'Założenia,wskaźniki, listy'!$C$10,0)))))))</f>
        <v>0</v>
      </c>
      <c r="AJ24" s="640">
        <f>S24*'Założenia,wskaźniki, listy'!$B$64*1000</f>
        <v>0</v>
      </c>
      <c r="AK24" s="640">
        <f>(H24+I24)*'Założenia,wskaźniki, listy'!$D$64*12</f>
        <v>0</v>
      </c>
      <c r="AL24" s="640">
        <f>AK24*'Założenia,wskaźniki, listy'!$F$64</f>
        <v>0</v>
      </c>
      <c r="AM24" s="639">
        <f t="shared" ref="AM24" si="60">T24+AA24</f>
        <v>2.8799999999999999E-2</v>
      </c>
      <c r="AN24" s="639">
        <f t="shared" ref="AN24" si="61">U24+AB24</f>
        <v>2.8199999999999999E-2</v>
      </c>
      <c r="AO24" s="639">
        <f>V24+AC24+S24*'Założenia,wskaźniki, listy'!$J$46</f>
        <v>0</v>
      </c>
      <c r="AP24" s="639">
        <f t="shared" ref="AP24" si="62">W24+AD24</f>
        <v>7.2600000000000008E-6</v>
      </c>
      <c r="AQ24" s="639">
        <f t="shared" ref="AQ24" si="63">X24+AE24</f>
        <v>6.6E-4</v>
      </c>
      <c r="AR24" s="639">
        <f t="shared" ref="AR24" si="64">Y24+AF24</f>
        <v>4.8000000000000004E-3</v>
      </c>
      <c r="AS24" s="639">
        <f t="shared" ref="AS24" si="65">Z24+AG24</f>
        <v>1.0763999999999999E-2</v>
      </c>
      <c r="AT24" s="647"/>
      <c r="AU24" s="647"/>
      <c r="AV24" s="624">
        <f t="shared" si="1"/>
        <v>0</v>
      </c>
      <c r="AW24" s="624" t="b">
        <f t="shared" si="2"/>
        <v>0</v>
      </c>
      <c r="AX24" s="624" t="b">
        <f t="shared" si="3"/>
        <v>0</v>
      </c>
      <c r="AY24" s="624" t="b">
        <f t="shared" si="4"/>
        <v>0</v>
      </c>
      <c r="AZ24" s="624" t="b">
        <f t="shared" si="5"/>
        <v>0</v>
      </c>
      <c r="BA24" s="624" t="b">
        <f t="shared" si="6"/>
        <v>0</v>
      </c>
      <c r="BB24" s="624" t="b">
        <f t="shared" si="7"/>
        <v>0</v>
      </c>
      <c r="BC24" s="624" t="b">
        <f t="shared" si="8"/>
        <v>0</v>
      </c>
      <c r="BD24" s="624" t="b">
        <f t="shared" si="9"/>
        <v>0</v>
      </c>
      <c r="BE24" s="624" t="b">
        <f t="shared" si="10"/>
        <v>0</v>
      </c>
      <c r="BF24" s="624" t="b">
        <f t="shared" si="11"/>
        <v>0</v>
      </c>
      <c r="BG24" s="624" t="b">
        <f t="shared" si="12"/>
        <v>0</v>
      </c>
      <c r="BH24" s="624">
        <f t="shared" si="13"/>
        <v>60</v>
      </c>
      <c r="BI24" s="624" t="b">
        <f t="shared" si="14"/>
        <v>0</v>
      </c>
      <c r="BJ24" s="624" t="b">
        <f t="shared" si="15"/>
        <v>0</v>
      </c>
      <c r="BK24" s="624" t="b">
        <f t="shared" si="16"/>
        <v>0</v>
      </c>
      <c r="BL24" s="624" t="b">
        <f t="shared" si="17"/>
        <v>0</v>
      </c>
      <c r="BM24" s="624" t="b">
        <f t="shared" si="18"/>
        <v>0</v>
      </c>
      <c r="BN24" s="624" t="b">
        <f t="shared" si="19"/>
        <v>0</v>
      </c>
      <c r="BO24" s="624" t="b">
        <f t="shared" si="20"/>
        <v>0</v>
      </c>
      <c r="BP24" s="624" t="b">
        <f t="shared" si="21"/>
        <v>0</v>
      </c>
      <c r="BQ24" s="624" t="b">
        <f t="shared" si="22"/>
        <v>0</v>
      </c>
    </row>
    <row r="25" spans="1:69">
      <c r="A25" s="1086">
        <v>11</v>
      </c>
      <c r="B25" s="644" t="s">
        <v>21</v>
      </c>
      <c r="C25" s="873" t="s">
        <v>621</v>
      </c>
      <c r="D25" s="636" t="s">
        <v>622</v>
      </c>
      <c r="E25" s="645" t="s">
        <v>624</v>
      </c>
      <c r="F25" s="644">
        <v>1976</v>
      </c>
      <c r="G25" s="644">
        <v>120</v>
      </c>
      <c r="H25" s="644"/>
      <c r="I25" s="635"/>
      <c r="J25" s="644">
        <f>IF(F25&lt;=1966,'Założenia,wskaźniki, listy'!$H$4,IF(F25&gt;1966,IF(F25&lt;=1985,'Założenia,wskaźniki, listy'!$H$5,IF(F25&gt;1985,IF(F25&lt;=1992,'Założenia,wskaźniki, listy'!$H$6,IF(F25&gt;1992,IF(F25&lt;=1996,'Założenia,wskaźniki, listy'!$H$7,IF(F25&gt;1996,IF(F25&lt;=2013,'Założenia,wskaźniki, listy'!$H$8)))))))))</f>
        <v>250</v>
      </c>
      <c r="K25" s="864" t="s">
        <v>33</v>
      </c>
      <c r="L25" s="644" t="s">
        <v>8</v>
      </c>
      <c r="M25" s="644">
        <v>3.5</v>
      </c>
      <c r="N25" s="644"/>
      <c r="O25" s="637">
        <f t="shared" si="23"/>
        <v>82.767499999999998</v>
      </c>
      <c r="P25" s="646">
        <f>IF(K25="kompletna",J25*G25*0.0036*'Założenia,wskaźniki, listy'!$P$9,IF(K25="częściowa",J25*G25*0.0036*'Założenia,wskaźniki, listy'!$P$10,IF(K25="brak",J25*G25*0.0036*'Założenia,wskaźniki, listy'!$P$11,0)))</f>
        <v>86.4</v>
      </c>
      <c r="Q25" s="638">
        <f>H25*'Założenia,wskaźniki, listy'!$L$15</f>
        <v>0</v>
      </c>
      <c r="R25" s="635">
        <f>IF(L25="węgiel",'Mieszkalne - baza'!M25*'Założenia,wskaźniki, listy'!$B$4,IF(L25="gaz",'Mieszkalne - baza'!M25*'Założenia,wskaźniki, listy'!$B$5,IF(L25="drewno",'Mieszkalne - baza'!M25*'Założenia,wskaźniki, listy'!$B$6,IF(L25="pelet",'Mieszkalne - baza'!M25*'Założenia,wskaźniki, listy'!$B$7,IF(L25="olej opałowy",'Mieszkalne - baza'!M25*'Założenia,wskaźniki, listy'!$B$8,IF(L25="sieć ciepłownicza",0,0))))))</f>
        <v>79.134999999999991</v>
      </c>
      <c r="S25" s="1084">
        <v>1.9176</v>
      </c>
      <c r="T25" s="639">
        <f>IF(L25="węgiel",R25*'Założenia,wskaźniki, listy'!$C$44,IF(L25="gaz",R25*'Założenia,wskaźniki, listy'!$D$44,IF(L25="drewno",R25*'Założenia,wskaźniki, listy'!$E$44,IF(L25="pelet",R25*'Założenia,wskaźniki, listy'!$F$44,IF(L25="olej opałowy",R25*'Założenia,wskaźniki, listy'!$G$44,IF(L25="sieć ciepłownicza",0,IF(L25="prąd",0,0)))))))</f>
        <v>1.7805374999999998E-2</v>
      </c>
      <c r="U25" s="639">
        <f>IF(L25="węgiel",R25*'Założenia,wskaźniki, listy'!$C$45,IF(L25="gaz",R25*'Założenia,wskaźniki, listy'!$D$45,IF(L25="drewno",R25*'Założenia,wskaźniki, listy'!$E$45,IF(L25="pelet",R25*'Założenia,wskaźniki, listy'!$F$45,IF(L25="olej opałowy",R25*'Założenia,wskaźniki, listy'!$G$45,IF(L25="sieć ciepłownicza",0,IF(L25="prąd",0,0)))))))</f>
        <v>1.5906134999999998E-2</v>
      </c>
      <c r="V25" s="639">
        <f>IF(L25="węgiel",R25*'Założenia,wskaźniki, listy'!$C$46,IF(L25="gaz",R25*'Założenia,wskaźniki, listy'!$D$46,IF(L25="drewno",R25*'Założenia,wskaźniki, listy'!$E$46,IF(L25="pelet",R25*'Założenia,wskaźniki, listy'!$F$46,IF(L25="olej opałowy",R25*'Założenia,wskaźniki, listy'!$G$46,IF(L25="sieć ciepłownicza",R25*'Założenia,wskaźniki, listy'!$H$46,IF(L25="prąd",R25*'Założenia,wskaźniki, listy'!$I$46,0)))))))</f>
        <v>7.4181148999999982</v>
      </c>
      <c r="W25" s="639">
        <f>IF(L25="węgiel",R25*'Założenia,wskaźniki, listy'!$C$47,IF(L25="gaz",R25*'Założenia,wskaźniki, listy'!$D$47,IF(L25="drewno",R25*'Założenia,wskaźniki, listy'!$E$47,IF(L25="pelet",R25*'Założenia,wskaźniki, listy'!$F$47,IF(L25="olej opałowy",R25*'Założenia,wskaźniki, listy'!$G$47,IF(L25="sieć ciepłownicza",0,IF(L25="prąd",0,0)))))))</f>
        <v>2.1366449999999999E-5</v>
      </c>
      <c r="X25" s="639">
        <f>IF(L25="węgiel",R25*'Założenia,wskaźniki, listy'!$C$48, IF(L25="gaz",R25*'Założenia,wskaźniki, listy'!$D$48,IF(L25="drewno",R25*'Założenia,wskaźniki, listy'!$E$48,IF(L25="pelet",R25*'Założenia,wskaźniki, listy'!$F$48,IF(L25="olej opałowy",R25*'Założenia,wskaźniki, listy'!$G$48,IF(L25="sieć ciepłownicza",0,IF(L25="prąd",0,0)))))))</f>
        <v>7.1221499999999993E-2</v>
      </c>
      <c r="Y25" s="639">
        <f>IF(L25="węgiel",R25*'Założenia,wskaźniki, listy'!$C$49, IF(L25="gaz",R25*'Założenia,wskaźniki, listy'!$D$49, IF(L25="drewno",R25*'Założenia,wskaźniki, listy'!$E$49,IF(L25="pelet",R25*'Założenia,wskaźniki, listy'!$F$49,IF(L25="olej opałowy",R25*'Założenia,wskaźniki, listy'!$G$49,IF(L25="sieć ciepłownicza",0,IF(L25="prąd",0,0)))))))</f>
        <v>1.2503329999999998E-2</v>
      </c>
      <c r="Z25" s="639">
        <f>IF(L25="węgiel",R25*'Założenia,wskaźniki, listy'!$C$50,IF(L25="gaz",R25*'Założenia,wskaźniki, listy'!$D$50, IF(L25="drewno",R25*'Założenia,wskaźniki, listy'!$E$50,IF(L25="pelet",R25*'Założenia,wskaźniki, listy'!$F$50,IF(L25="pelet",R25*'Założenia,wskaźniki, listy'!$F$50,IF(L25="olej opałowy",R25*'Założenia,wskaźniki, listy'!$G$50,IF(L25="sieć ciepłownicza",0,IF(L25="prąd",0,0))))))))</f>
        <v>0.15918976307554758</v>
      </c>
      <c r="AA25" s="639">
        <f>IF(N25="węgiel",Q25*'Założenia,wskaźniki, listy'!$C$44,IF(N25="gaz",Q25*'Założenia,wskaźniki, listy'!$D$44,IF(N25="drewno",Q25*'Założenia,wskaźniki, listy'!$E$44,IF(N25="pelet",Q25*'Założenia,wskaźniki, listy'!$G$44,IF(N25="olej opałowy",Q25*'Założenia,wskaźniki, listy'!$G$44,IF(N25="sieć ciepłownicza",0,IF(N25="prąd",0,0)))))))</f>
        <v>0</v>
      </c>
      <c r="AB25" s="639">
        <f>IF(N25="węgiel",Q25*'Założenia,wskaźniki, listy'!$C$45,IF(N25="gaz",Q25*'Założenia,wskaźniki, listy'!$D$45,IF(N25="drewno",Q25*'Założenia,wskaźniki, listy'!$E$45,IF(N25="pelet",Q25*'Założenia,wskaźniki, listy'!$G$45,IF(N25="olej opałowy",Q25*'Założenia,wskaźniki, listy'!$G$45,IF(N25="sieć ciepłownicza",0,IF(N25="prąd",0,0)))))))</f>
        <v>0</v>
      </c>
      <c r="AC25" s="639">
        <f>IF(N25="węgiel",Q25*'Założenia,wskaźniki, listy'!$C$46,IF(N25="gaz",Q25*'Założenia,wskaźniki, listy'!$D$46,IF(N25="drewno",Q25*'Założenia,wskaźniki, listy'!$E$46,IF(N25="pelet",Q25*'Założenia,wskaźniki, listy'!$G$46,IF(N25="olej opałowy",Q25*'Założenia,wskaźniki, listy'!$G$46,IF(N25="sieć ciepłownicza",0,IF(N25="prąd",0,0)))))))</f>
        <v>0</v>
      </c>
      <c r="AD25" s="639">
        <f>IF(N25="węgiel",Q25*'Założenia,wskaźniki, listy'!$C$47,IF(N25="gaz",Q25*'Założenia,wskaźniki, listy'!$D$47,IF(N25="drewno",Q25*'Założenia,wskaźniki, listy'!$E$47,IF(N25="pelet",Q25*'Założenia,wskaźniki, listy'!$G$47,IF(N25="olej opałowy",Q25*'Założenia,wskaźniki, listy'!$G$47,IF(N25="sieć ciepłownicza",0,IF(N25="prąd",0,0)))))))</f>
        <v>0</v>
      </c>
      <c r="AE25" s="639">
        <f>IF(N25="węgiel",Q25*'Założenia,wskaźniki, listy'!$C$48,IF(N25="gaz",Q25*'Założenia,wskaźniki, listy'!$D$48,IF(N25="drewno",Q25*'Założenia,wskaźniki, listy'!$E$48,IF(N25="pelet",Q25*'Założenia,wskaźniki, listy'!$G$48,IF(N25="olej opałowy",Q25*'Założenia,wskaźniki, listy'!$G$48,IF(N25="sieć ciepłownicza",0,IF(N25="prąd",0,0)))))))</f>
        <v>0</v>
      </c>
      <c r="AF25" s="639">
        <f>IF(N25="węgiel",Q25*'Założenia,wskaźniki, listy'!$C$49,IF(N25="gaz",Q25*'Założenia,wskaźniki, listy'!$D$49,IF(N25="drewno",Q25*'Założenia,wskaźniki, listy'!$E$49,IF(N25="pelet",Q25*'Założenia,wskaźniki, listy'!$G$49,IF(N25="olej opałowy",Q25*'Założenia,wskaźniki, listy'!$G$49,IF(N25="sieć ciepłownicza",0,IF(N25="prąd",0,0)))))))</f>
        <v>0</v>
      </c>
      <c r="AG25" s="639">
        <f>IF(N25="węgiel",Q25*'Założenia,wskaźniki, listy'!$C$50,IF(N25="gaz",Q25*'Założenia,wskaźniki, listy'!$D$50,IF(N25="drewno",Q25*'Założenia,wskaźniki, listy'!$E$50,IF(N25="pelet",Q25*'Założenia,wskaźniki, listy'!$G$50,IF(N25="olej opałowy",Q25*'Założenia,wskaźniki, listy'!$G$50,IF(N25="sieć ciepłownicza",0,IF(N25="prąd",0,0)))))))</f>
        <v>0</v>
      </c>
      <c r="AH25" s="640">
        <f>IF(L25="węgiel",(P25+R25)/2*'Założenia,wskaźniki, listy'!$C$4,IF(L25="gaz",(P25+R25)/2*'Założenia,wskaźniki, listy'!$C$5,IF(L25="drewno",(P25+R25)/2*'Założenia,wskaźniki, listy'!$C$6,IF(L25="pelet",(P25+R25)/2*'Założenia,wskaźniki, listy'!$C$7,IF(L25="olej opałowy",(P25+R25)/2*'Założenia,wskaźniki, listy'!$C$8,IF(L25="sieć ciepłownicza",(P25+R25)/2*'Założenia,wskaźniki, listy'!$C$9,IF(L25="sieć ciepłownicza",(P25+R25)/2*'Założenia,wskaźniki, listy'!$C$10,)))))))</f>
        <v>3393.4674999999997</v>
      </c>
      <c r="AI25" s="640">
        <f>IF(N25="węgiel",Q25*'Założenia,wskaźniki, listy'!$C$4,IF(N25="gaz",Q25*'Założenia,wskaźniki, listy'!$C$5,IF(N25="drewno",Q25*'Założenia,wskaźniki, listy'!$C$6,IF(N25="pelet",Q25*'Założenia,wskaźniki, listy'!$C$7,IF(N25="olej opałowy",Q25*'Założenia,wskaźniki, listy'!$C$8,IF(N25="sieć ciepłownicza",Q25*'Założenia,wskaźniki, listy'!$C$9,IF(N25="sieć ciepłownicza",Q25*'Założenia,wskaźniki, listy'!$C$10,0)))))))</f>
        <v>0</v>
      </c>
      <c r="AJ25" s="640">
        <f>S25*'Założenia,wskaźniki, listy'!$B$64*1000</f>
        <v>1361.4959999999999</v>
      </c>
      <c r="AK25" s="640">
        <f>(H25+I25)*'Założenia,wskaźniki, listy'!$D$64*12</f>
        <v>0</v>
      </c>
      <c r="AL25" s="640">
        <f>AK25*'Założenia,wskaźniki, listy'!$F$64</f>
        <v>0</v>
      </c>
      <c r="AM25" s="639">
        <f t="shared" si="24"/>
        <v>1.7805374999999998E-2</v>
      </c>
      <c r="AN25" s="639">
        <f t="shared" si="25"/>
        <v>1.5906134999999998E-2</v>
      </c>
      <c r="AO25" s="639">
        <f>V25+AC25+S25*'Założenia,wskaźniki, listy'!$J$46</f>
        <v>9.012599299999998</v>
      </c>
      <c r="AP25" s="639">
        <f t="shared" si="26"/>
        <v>2.1366449999999999E-5</v>
      </c>
      <c r="AQ25" s="639">
        <f t="shared" si="27"/>
        <v>7.1221499999999993E-2</v>
      </c>
      <c r="AR25" s="639">
        <f t="shared" si="28"/>
        <v>1.2503329999999998E-2</v>
      </c>
      <c r="AS25" s="639">
        <f t="shared" si="29"/>
        <v>0.15918976307554758</v>
      </c>
      <c r="AT25" s="647"/>
      <c r="AU25" s="647"/>
      <c r="AV25" s="624" t="b">
        <f t="shared" si="1"/>
        <v>0</v>
      </c>
      <c r="AW25" s="624">
        <f t="shared" si="2"/>
        <v>0</v>
      </c>
      <c r="AX25" s="624">
        <f t="shared" si="3"/>
        <v>120</v>
      </c>
      <c r="AY25" s="624">
        <f t="shared" si="4"/>
        <v>60</v>
      </c>
      <c r="AZ25" s="624" t="b">
        <f t="shared" si="5"/>
        <v>0</v>
      </c>
      <c r="BA25" s="624">
        <f t="shared" si="6"/>
        <v>0</v>
      </c>
      <c r="BB25" s="624" t="b">
        <f t="shared" si="7"/>
        <v>0</v>
      </c>
      <c r="BC25" s="624">
        <f t="shared" si="8"/>
        <v>0</v>
      </c>
      <c r="BD25" s="624" t="b">
        <f t="shared" si="9"/>
        <v>0</v>
      </c>
      <c r="BE25" s="624">
        <f t="shared" si="10"/>
        <v>0</v>
      </c>
      <c r="BF25" s="624">
        <f t="shared" si="11"/>
        <v>79.134999999999991</v>
      </c>
      <c r="BG25" s="624" t="b">
        <f t="shared" si="12"/>
        <v>0</v>
      </c>
      <c r="BH25" s="624" t="b">
        <f t="shared" si="13"/>
        <v>0</v>
      </c>
      <c r="BI25" s="624" t="b">
        <f t="shared" si="14"/>
        <v>0</v>
      </c>
      <c r="BJ25" s="624" t="b">
        <f t="shared" si="15"/>
        <v>0</v>
      </c>
      <c r="BK25" s="624" t="b">
        <f t="shared" si="16"/>
        <v>0</v>
      </c>
      <c r="BL25" s="624" t="b">
        <f t="shared" si="17"/>
        <v>0</v>
      </c>
      <c r="BM25" s="624" t="b">
        <f t="shared" si="18"/>
        <v>0</v>
      </c>
      <c r="BN25" s="624" t="b">
        <f t="shared" si="19"/>
        <v>0</v>
      </c>
      <c r="BO25" s="624" t="b">
        <f t="shared" si="20"/>
        <v>0</v>
      </c>
      <c r="BP25" s="624" t="b">
        <f t="shared" si="21"/>
        <v>0</v>
      </c>
      <c r="BQ25" s="624" t="b">
        <f t="shared" si="22"/>
        <v>0</v>
      </c>
    </row>
    <row r="26" spans="1:69">
      <c r="A26" s="1087"/>
      <c r="B26" s="644"/>
      <c r="C26" s="872"/>
      <c r="D26" s="645"/>
      <c r="E26" s="645"/>
      <c r="F26" s="644"/>
      <c r="G26" s="644"/>
      <c r="H26" s="644"/>
      <c r="I26" s="635"/>
      <c r="J26" s="644">
        <f>IF(F26&lt;=1966,'Założenia,wskaźniki, listy'!$H$4,IF(F26&gt;1966,IF(F26&lt;=1985,'Założenia,wskaźniki, listy'!$H$5,IF(F26&gt;1985,IF(F26&lt;=1992,'Założenia,wskaźniki, listy'!$H$6,IF(F26&gt;1992,IF(F26&lt;=1996,'Założenia,wskaźniki, listy'!$H$7,IF(F26&gt;1996,IF(F26&lt;=2013,'Założenia,wskaźniki, listy'!$H$8)))))))))</f>
        <v>290</v>
      </c>
      <c r="K26" s="864"/>
      <c r="L26" s="644"/>
      <c r="M26" s="644"/>
      <c r="N26" s="644"/>
      <c r="O26" s="637">
        <f t="shared" si="23"/>
        <v>0</v>
      </c>
      <c r="P26" s="646">
        <f>IF(K26="kompletna",J26*G26*0.0036*'Założenia,wskaźniki, listy'!$P$9,IF(K26="częściowa",J26*G26*0.0036*'Założenia,wskaźniki, listy'!$P$10,IF(K26="brak",J26*G26*0.0036*'Założenia,wskaźniki, listy'!$P$11,0)))</f>
        <v>0</v>
      </c>
      <c r="Q26" s="638">
        <f>H26*'Założenia,wskaźniki, listy'!$L$15</f>
        <v>0</v>
      </c>
      <c r="R26" s="635">
        <f>IF(L26="węgiel",'Mieszkalne - baza'!M26*'Założenia,wskaźniki, listy'!$B$4,IF(L26="gaz",'Mieszkalne - baza'!M26*'Założenia,wskaźniki, listy'!$B$5,IF(L26="drewno",'Mieszkalne - baza'!M26*'Założenia,wskaźniki, listy'!$B$6,IF(L26="pelet",'Mieszkalne - baza'!M26*'Założenia,wskaźniki, listy'!$B$7,IF(L26="olej opałowy",'Mieszkalne - baza'!M26*'Założenia,wskaźniki, listy'!$B$8,IF(L26="sieć ciepłownicza",0,0))))))</f>
        <v>0</v>
      </c>
      <c r="S26" s="1085"/>
      <c r="T26" s="639">
        <f>IF(L26="węgiel",R26*'Założenia,wskaźniki, listy'!$C$44,IF(L26="gaz",R26*'Założenia,wskaźniki, listy'!$D$44,IF(L26="drewno",R26*'Założenia,wskaźniki, listy'!$E$44,IF(L26="pelet",R26*'Założenia,wskaźniki, listy'!$F$44,IF(L26="olej opałowy",R26*'Założenia,wskaźniki, listy'!$G$44,IF(L26="sieć ciepłownicza",0,IF(L26="prąd",0,0)))))))</f>
        <v>0</v>
      </c>
      <c r="U26" s="639">
        <f>IF(L26="węgiel",R26*'Założenia,wskaźniki, listy'!$C$45,IF(L26="gaz",R26*'Założenia,wskaźniki, listy'!$D$45,IF(L26="drewno",R26*'Założenia,wskaźniki, listy'!$E$45,IF(L26="pelet",R26*'Założenia,wskaźniki, listy'!$F$45,IF(L26="olej opałowy",R26*'Założenia,wskaźniki, listy'!$G$45,IF(L26="sieć ciepłownicza",0,IF(L26="prąd",0,0)))))))</f>
        <v>0</v>
      </c>
      <c r="V26" s="639">
        <f>IF(L26="węgiel",R26*'Założenia,wskaźniki, listy'!$C$46,IF(L26="gaz",R26*'Założenia,wskaźniki, listy'!$D$46,IF(L26="drewno",R26*'Założenia,wskaźniki, listy'!$E$46,IF(L26="pelet",R26*'Założenia,wskaźniki, listy'!$F$46,IF(L26="olej opałowy",R26*'Założenia,wskaźniki, listy'!$G$46,IF(L26="sieć ciepłownicza",R26*'Założenia,wskaźniki, listy'!$H$46,IF(L26="prąd",R26*'Założenia,wskaźniki, listy'!$I$46,0)))))))</f>
        <v>0</v>
      </c>
      <c r="W26" s="639">
        <f>IF(L26="węgiel",R26*'Założenia,wskaźniki, listy'!$C$47,IF(L26="gaz",R26*'Założenia,wskaźniki, listy'!$D$47,IF(L26="drewno",R26*'Założenia,wskaźniki, listy'!$E$47,IF(L26="pelet",R26*'Założenia,wskaźniki, listy'!$F$47,IF(L26="olej opałowy",R26*'Założenia,wskaźniki, listy'!$G$47,IF(L26="sieć ciepłownicza",0,IF(L26="prąd",0,0)))))))</f>
        <v>0</v>
      </c>
      <c r="X26" s="639">
        <f>IF(L26="węgiel",R26*'Założenia,wskaźniki, listy'!$C$48, IF(L26="gaz",R26*'Założenia,wskaźniki, listy'!$D$48,IF(L26="drewno",R26*'Założenia,wskaźniki, listy'!$E$48,IF(L26="pelet",R26*'Założenia,wskaźniki, listy'!$F$48,IF(L26="olej opałowy",R26*'Założenia,wskaźniki, listy'!$G$48,IF(L26="sieć ciepłownicza",0,IF(L26="prąd",0,0)))))))</f>
        <v>0</v>
      </c>
      <c r="Y26" s="639">
        <f>IF(L26="węgiel",R26*'Założenia,wskaźniki, listy'!$C$49, IF(L26="gaz",R26*'Założenia,wskaźniki, listy'!$D$49, IF(L26="drewno",R26*'Założenia,wskaźniki, listy'!$E$49,IF(L26="pelet",R26*'Założenia,wskaźniki, listy'!$F$49,IF(L26="olej opałowy",R26*'Założenia,wskaźniki, listy'!$G$49,IF(L26="sieć ciepłownicza",0,IF(L26="prąd",0,0)))))))</f>
        <v>0</v>
      </c>
      <c r="Z26" s="639">
        <f>IF(L26="węgiel",R26*'Założenia,wskaźniki, listy'!$C$50,IF(L26="gaz",R26*'Założenia,wskaźniki, listy'!$D$50, IF(L26="drewno",R26*'Założenia,wskaźniki, listy'!$E$50,IF(L26="pelet",R26*'Założenia,wskaźniki, listy'!$F$50,IF(L26="pelet",R26*'Założenia,wskaźniki, listy'!$F$50,IF(L26="olej opałowy",R26*'Założenia,wskaźniki, listy'!$G$50,IF(L26="sieć ciepłownicza",0,IF(L26="prąd",0,0))))))))</f>
        <v>0</v>
      </c>
      <c r="AA26" s="639">
        <f>IF(N26="węgiel",Q26*'Założenia,wskaźniki, listy'!$C$44,IF(N26="gaz",Q26*'Założenia,wskaźniki, listy'!$D$44,IF(N26="drewno",Q26*'Założenia,wskaźniki, listy'!$E$44,IF(N26="pelet",Q26*'Założenia,wskaźniki, listy'!$G$44,IF(N26="olej opałowy",Q26*'Założenia,wskaźniki, listy'!$G$44,IF(N26="sieć ciepłownicza",0,IF(N26="prąd",0,0)))))))</f>
        <v>0</v>
      </c>
      <c r="AB26" s="639">
        <f>IF(N26="węgiel",Q26*'Założenia,wskaźniki, listy'!$C$45,IF(N26="gaz",Q26*'Założenia,wskaźniki, listy'!$D$45,IF(N26="drewno",Q26*'Założenia,wskaźniki, listy'!$E$45,IF(N26="pelet",Q26*'Założenia,wskaźniki, listy'!$G$45,IF(N26="olej opałowy",Q26*'Założenia,wskaźniki, listy'!$G$45,IF(N26="sieć ciepłownicza",0,IF(N26="prąd",0,0)))))))</f>
        <v>0</v>
      </c>
      <c r="AC26" s="639">
        <f>IF(N26="węgiel",Q26*'Założenia,wskaźniki, listy'!$C$46,IF(N26="gaz",Q26*'Założenia,wskaźniki, listy'!$D$46,IF(N26="drewno",Q26*'Założenia,wskaźniki, listy'!$E$46,IF(N26="pelet",Q26*'Założenia,wskaźniki, listy'!$G$46,IF(N26="olej opałowy",Q26*'Założenia,wskaźniki, listy'!$G$46,IF(N26="sieć ciepłownicza",0,IF(N26="prąd",0,0)))))))</f>
        <v>0</v>
      </c>
      <c r="AD26" s="639">
        <f>IF(N26="węgiel",Q26*'Założenia,wskaźniki, listy'!$C$47,IF(N26="gaz",Q26*'Założenia,wskaźniki, listy'!$D$47,IF(N26="drewno",Q26*'Założenia,wskaźniki, listy'!$E$47,IF(N26="pelet",Q26*'Założenia,wskaźniki, listy'!$G$47,IF(N26="olej opałowy",Q26*'Założenia,wskaźniki, listy'!$G$47,IF(N26="sieć ciepłownicza",0,IF(N26="prąd",0,0)))))))</f>
        <v>0</v>
      </c>
      <c r="AE26" s="639">
        <f>IF(N26="węgiel",Q26*'Założenia,wskaźniki, listy'!$C$48,IF(N26="gaz",Q26*'Założenia,wskaźniki, listy'!$D$48,IF(N26="drewno",Q26*'Założenia,wskaźniki, listy'!$E$48,IF(N26="pelet",Q26*'Założenia,wskaźniki, listy'!$G$48,IF(N26="olej opałowy",Q26*'Założenia,wskaźniki, listy'!$G$48,IF(N26="sieć ciepłownicza",0,IF(N26="prąd",0,0)))))))</f>
        <v>0</v>
      </c>
      <c r="AF26" s="639">
        <f>IF(N26="węgiel",Q26*'Założenia,wskaźniki, listy'!$C$49,IF(N26="gaz",Q26*'Założenia,wskaźniki, listy'!$D$49,IF(N26="drewno",Q26*'Założenia,wskaźniki, listy'!$E$49,IF(N26="pelet",Q26*'Założenia,wskaźniki, listy'!$G$49,IF(N26="olej opałowy",Q26*'Założenia,wskaźniki, listy'!$G$49,IF(N26="sieć ciepłownicza",0,IF(N26="prąd",0,0)))))))</f>
        <v>0</v>
      </c>
      <c r="AG26" s="639">
        <f>IF(N26="węgiel",Q26*'Założenia,wskaźniki, listy'!$C$50,IF(N26="gaz",Q26*'Założenia,wskaźniki, listy'!$D$50,IF(N26="drewno",Q26*'Założenia,wskaźniki, listy'!$E$50,IF(N26="pelet",Q26*'Założenia,wskaźniki, listy'!$G$50,IF(N26="olej opałowy",Q26*'Założenia,wskaźniki, listy'!$G$50,IF(N26="sieć ciepłownicza",0,IF(N26="prąd",0,0)))))))</f>
        <v>0</v>
      </c>
      <c r="AH26" s="640">
        <f>IF(L26="węgiel",(P26+R26)/2*'Założenia,wskaźniki, listy'!$C$4,IF(L26="gaz",(P26+R26)/2*'Założenia,wskaźniki, listy'!$C$5,IF(L26="drewno",(P26+R26)/2*'Założenia,wskaźniki, listy'!$C$6,IF(L26="pelet",(P26+R26)/2*'Założenia,wskaźniki, listy'!$C$7,IF(L26="olej opałowy",(P26+R26)/2*'Założenia,wskaźniki, listy'!$C$8,IF(L26="sieć ciepłownicza",(P26+R26)/2*'Założenia,wskaźniki, listy'!$C$9,IF(L26="sieć ciepłownicza",(P26+R26)/2*'Założenia,wskaźniki, listy'!$C$10,)))))))</f>
        <v>0</v>
      </c>
      <c r="AI26" s="640">
        <f>IF(N26="węgiel",Q26*'Założenia,wskaźniki, listy'!$C$4,IF(N26="gaz",Q26*'Założenia,wskaźniki, listy'!$C$5,IF(N26="drewno",Q26*'Założenia,wskaźniki, listy'!$C$6,IF(N26="pelet",Q26*'Założenia,wskaźniki, listy'!$C$7,IF(N26="olej opałowy",Q26*'Założenia,wskaźniki, listy'!$C$8,IF(N26="sieć ciepłownicza",Q26*'Założenia,wskaźniki, listy'!$C$9,IF(N26="sieć ciepłownicza",Q26*'Założenia,wskaźniki, listy'!$C$10,0)))))))</f>
        <v>0</v>
      </c>
      <c r="AJ26" s="640">
        <f>S26*'Założenia,wskaźniki, listy'!$B$64*1000</f>
        <v>0</v>
      </c>
      <c r="AK26" s="640">
        <f>(H26+I26)*'Założenia,wskaźniki, listy'!$D$64*12</f>
        <v>0</v>
      </c>
      <c r="AL26" s="640">
        <f>AK26*'Założenia,wskaźniki, listy'!$F$64</f>
        <v>0</v>
      </c>
      <c r="AM26" s="639">
        <f t="shared" si="24"/>
        <v>0</v>
      </c>
      <c r="AN26" s="639">
        <f t="shared" si="25"/>
        <v>0</v>
      </c>
      <c r="AO26" s="639">
        <f>V26+AC26+S26*'Założenia,wskaźniki, listy'!$J$46</f>
        <v>0</v>
      </c>
      <c r="AP26" s="639">
        <f t="shared" si="26"/>
        <v>0</v>
      </c>
      <c r="AQ26" s="639">
        <f t="shared" si="27"/>
        <v>0</v>
      </c>
      <c r="AR26" s="639">
        <f t="shared" si="28"/>
        <v>0</v>
      </c>
      <c r="AS26" s="639">
        <f t="shared" si="29"/>
        <v>0</v>
      </c>
      <c r="AT26" s="647"/>
      <c r="AU26" s="647"/>
      <c r="AV26" s="624">
        <f t="shared" si="1"/>
        <v>0</v>
      </c>
      <c r="AW26" s="624" t="b">
        <f t="shared" si="2"/>
        <v>0</v>
      </c>
      <c r="AX26" s="624" t="b">
        <f t="shared" si="3"/>
        <v>0</v>
      </c>
      <c r="AY26" s="624" t="b">
        <f t="shared" si="4"/>
        <v>0</v>
      </c>
      <c r="AZ26" s="624" t="b">
        <f t="shared" si="5"/>
        <v>0</v>
      </c>
      <c r="BA26" s="624" t="b">
        <f t="shared" si="6"/>
        <v>0</v>
      </c>
      <c r="BB26" s="624" t="b">
        <f t="shared" si="7"/>
        <v>0</v>
      </c>
      <c r="BC26" s="624" t="b">
        <f t="shared" si="8"/>
        <v>0</v>
      </c>
      <c r="BD26" s="624" t="b">
        <f t="shared" si="9"/>
        <v>0</v>
      </c>
      <c r="BE26" s="624" t="b">
        <f t="shared" si="10"/>
        <v>0</v>
      </c>
      <c r="BF26" s="624" t="b">
        <f t="shared" si="11"/>
        <v>0</v>
      </c>
      <c r="BG26" s="624" t="b">
        <f t="shared" si="12"/>
        <v>0</v>
      </c>
      <c r="BH26" s="624" t="b">
        <f t="shared" si="13"/>
        <v>0</v>
      </c>
      <c r="BI26" s="624" t="b">
        <f t="shared" si="14"/>
        <v>0</v>
      </c>
      <c r="BJ26" s="624" t="b">
        <f t="shared" si="15"/>
        <v>0</v>
      </c>
      <c r="BK26" s="624" t="b">
        <f t="shared" si="16"/>
        <v>0</v>
      </c>
      <c r="BL26" s="624" t="b">
        <f t="shared" si="17"/>
        <v>0</v>
      </c>
      <c r="BM26" s="624" t="b">
        <f t="shared" si="18"/>
        <v>0</v>
      </c>
      <c r="BN26" s="624" t="b">
        <f t="shared" si="19"/>
        <v>0</v>
      </c>
      <c r="BO26" s="624" t="b">
        <f t="shared" si="20"/>
        <v>0</v>
      </c>
      <c r="BP26" s="624" t="b">
        <f t="shared" si="21"/>
        <v>0</v>
      </c>
      <c r="BQ26" s="624" t="b">
        <f t="shared" si="22"/>
        <v>0</v>
      </c>
    </row>
    <row r="27" spans="1:69">
      <c r="A27" s="1086">
        <v>12</v>
      </c>
      <c r="B27" s="644" t="s">
        <v>21</v>
      </c>
      <c r="C27" s="873" t="s">
        <v>621</v>
      </c>
      <c r="D27" s="636" t="s">
        <v>625</v>
      </c>
      <c r="E27" s="645">
        <v>2</v>
      </c>
      <c r="F27" s="644">
        <v>1945</v>
      </c>
      <c r="G27" s="644">
        <v>110</v>
      </c>
      <c r="H27" s="644"/>
      <c r="I27" s="635"/>
      <c r="J27" s="644">
        <f>IF(F27&lt;=1966,'Założenia,wskaźniki, listy'!$H$4,IF(F27&gt;1966,IF(F27&lt;=1985,'Założenia,wskaźniki, listy'!$H$5,IF(F27&gt;1985,IF(F27&lt;=1992,'Założenia,wskaźniki, listy'!$H$6,IF(F27&gt;1992,IF(F27&lt;=1996,'Założenia,wskaźniki, listy'!$H$7,IF(F27&gt;1996,IF(F27&lt;=2013,'Założenia,wskaźniki, listy'!$H$8)))))))))</f>
        <v>290</v>
      </c>
      <c r="K27" s="864" t="s">
        <v>32</v>
      </c>
      <c r="L27" s="644" t="s">
        <v>8</v>
      </c>
      <c r="M27" s="644">
        <v>2</v>
      </c>
      <c r="N27" s="644"/>
      <c r="O27" s="637">
        <f t="shared" si="23"/>
        <v>57.061999999999998</v>
      </c>
      <c r="P27" s="646">
        <f>IF(K27="kompletna",J27*G27*0.0036*'Założenia,wskaźniki, listy'!$P$9,IF(K27="częściowa",J27*G27*0.0036*'Założenia,wskaźniki, listy'!$P$10,IF(K27="brak",J27*G27*0.0036*'Założenia,wskaźniki, listy'!$P$11,0)))</f>
        <v>68.903999999999996</v>
      </c>
      <c r="Q27" s="638">
        <f>H27*'Założenia,wskaźniki, listy'!$L$15</f>
        <v>0</v>
      </c>
      <c r="R27" s="635">
        <f>IF(L27="węgiel",'Mieszkalne - baza'!M27*'Założenia,wskaźniki, listy'!$B$4,IF(L27="gaz",'Mieszkalne - baza'!M27*'Założenia,wskaźniki, listy'!$B$5,IF(L27="drewno",'Mieszkalne - baza'!M27*'Założenia,wskaźniki, listy'!$B$6,IF(L27="pelet",'Mieszkalne - baza'!M27*'Założenia,wskaźniki, listy'!$B$7,IF(L27="olej opałowy",'Mieszkalne - baza'!M27*'Założenia,wskaźniki, listy'!$B$8,IF(L27="sieć ciepłownicza",0,0))))))</f>
        <v>45.22</v>
      </c>
      <c r="S27" s="1084">
        <v>1.8048000000000002</v>
      </c>
      <c r="T27" s="639">
        <f>IF(L27="węgiel",R27*'Założenia,wskaźniki, listy'!$C$44,IF(L27="gaz",R27*'Założenia,wskaźniki, listy'!$D$44,IF(L27="drewno",R27*'Założenia,wskaźniki, listy'!$E$44,IF(L27="pelet",R27*'Założenia,wskaźniki, listy'!$F$44,IF(L27="olej opałowy",R27*'Założenia,wskaźniki, listy'!$G$44,IF(L27="sieć ciepłownicza",0,IF(L27="prąd",0,0)))))))</f>
        <v>1.01745E-2</v>
      </c>
      <c r="U27" s="639">
        <f>IF(L27="węgiel",R27*'Założenia,wskaźniki, listy'!$C$45,IF(L27="gaz",R27*'Założenia,wskaźniki, listy'!$D$45,IF(L27="drewno",R27*'Założenia,wskaźniki, listy'!$E$45,IF(L27="pelet",R27*'Założenia,wskaźniki, listy'!$F$45,IF(L27="olej opałowy",R27*'Założenia,wskaźniki, listy'!$G$45,IF(L27="sieć ciepłownicza",0,IF(L27="prąd",0,0)))))))</f>
        <v>9.0892200000000003E-3</v>
      </c>
      <c r="V27" s="639">
        <f>IF(L27="węgiel",R27*'Założenia,wskaźniki, listy'!$C$46,IF(L27="gaz",R27*'Założenia,wskaźniki, listy'!$D$46,IF(L27="drewno",R27*'Założenia,wskaźniki, listy'!$E$46,IF(L27="pelet",R27*'Założenia,wskaźniki, listy'!$F$46,IF(L27="olej opałowy",R27*'Założenia,wskaźniki, listy'!$G$46,IF(L27="sieć ciepłownicza",R27*'Założenia,wskaźniki, listy'!$H$46,IF(L27="prąd",R27*'Założenia,wskaźniki, listy'!$I$46,0)))))))</f>
        <v>4.2389227999999992</v>
      </c>
      <c r="W27" s="639">
        <f>IF(L27="węgiel",R27*'Założenia,wskaźniki, listy'!$C$47,IF(L27="gaz",R27*'Założenia,wskaźniki, listy'!$D$47,IF(L27="drewno",R27*'Założenia,wskaźniki, listy'!$E$47,IF(L27="pelet",R27*'Założenia,wskaźniki, listy'!$F$47,IF(L27="olej opałowy",R27*'Założenia,wskaźniki, listy'!$G$47,IF(L27="sieć ciepłownicza",0,IF(L27="prąd",0,0)))))))</f>
        <v>1.22094E-5</v>
      </c>
      <c r="X27" s="639">
        <f>IF(L27="węgiel",R27*'Założenia,wskaźniki, listy'!$C$48, IF(L27="gaz",R27*'Założenia,wskaźniki, listy'!$D$48,IF(L27="drewno",R27*'Założenia,wskaźniki, listy'!$E$48,IF(L27="pelet",R27*'Założenia,wskaźniki, listy'!$F$48,IF(L27="olej opałowy",R27*'Założenia,wskaźniki, listy'!$G$48,IF(L27="sieć ciepłownicza",0,IF(L27="prąd",0,0)))))))</f>
        <v>4.0697999999999998E-2</v>
      </c>
      <c r="Y27" s="639">
        <f>IF(L27="węgiel",R27*'Założenia,wskaźniki, listy'!$C$49, IF(L27="gaz",R27*'Założenia,wskaźniki, listy'!$D$49, IF(L27="drewno",R27*'Założenia,wskaźniki, listy'!$E$49,IF(L27="pelet",R27*'Założenia,wskaźniki, listy'!$F$49,IF(L27="olej opałowy",R27*'Założenia,wskaźniki, listy'!$G$49,IF(L27="sieć ciepłownicza",0,IF(L27="prąd",0,0)))))))</f>
        <v>7.1447599999999991E-3</v>
      </c>
      <c r="Z27" s="639">
        <f>IF(L27="węgiel",R27*'Założenia,wskaźniki, listy'!$C$50,IF(L27="gaz",R27*'Założenia,wskaźniki, listy'!$D$50, IF(L27="drewno",R27*'Założenia,wskaźniki, listy'!$E$50,IF(L27="pelet",R27*'Założenia,wskaźniki, listy'!$F$50,IF(L27="pelet",R27*'Założenia,wskaźniki, listy'!$F$50,IF(L27="olej opałowy",R27*'Założenia,wskaźniki, listy'!$G$50,IF(L27="sieć ciepłownicza",0,IF(L27="prąd",0,0))))))))</f>
        <v>9.0965578900312913E-2</v>
      </c>
      <c r="AA27" s="639">
        <f>IF(N27="węgiel",Q27*'Założenia,wskaźniki, listy'!$C$44,IF(N27="gaz",Q27*'Założenia,wskaźniki, listy'!$D$44,IF(N27="drewno",Q27*'Założenia,wskaźniki, listy'!$E$44,IF(N27="pelet",Q27*'Założenia,wskaźniki, listy'!$G$44,IF(N27="olej opałowy",Q27*'Założenia,wskaźniki, listy'!$G$44,IF(N27="sieć ciepłownicza",0,IF(N27="prąd",0,0)))))))</f>
        <v>0</v>
      </c>
      <c r="AB27" s="639">
        <f>IF(N27="węgiel",Q27*'Założenia,wskaźniki, listy'!$C$45,IF(N27="gaz",Q27*'Założenia,wskaźniki, listy'!$D$45,IF(N27="drewno",Q27*'Założenia,wskaźniki, listy'!$E$45,IF(N27="pelet",Q27*'Założenia,wskaźniki, listy'!$G$45,IF(N27="olej opałowy",Q27*'Założenia,wskaźniki, listy'!$G$45,IF(N27="sieć ciepłownicza",0,IF(N27="prąd",0,0)))))))</f>
        <v>0</v>
      </c>
      <c r="AC27" s="639">
        <f>IF(N27="węgiel",Q27*'Założenia,wskaźniki, listy'!$C$46,IF(N27="gaz",Q27*'Założenia,wskaźniki, listy'!$D$46,IF(N27="drewno",Q27*'Założenia,wskaźniki, listy'!$E$46,IF(N27="pelet",Q27*'Założenia,wskaźniki, listy'!$G$46,IF(N27="olej opałowy",Q27*'Założenia,wskaźniki, listy'!$G$46,IF(N27="sieć ciepłownicza",0,IF(N27="prąd",0,0)))))))</f>
        <v>0</v>
      </c>
      <c r="AD27" s="639">
        <f>IF(N27="węgiel",Q27*'Założenia,wskaźniki, listy'!$C$47,IF(N27="gaz",Q27*'Założenia,wskaźniki, listy'!$D$47,IF(N27="drewno",Q27*'Założenia,wskaźniki, listy'!$E$47,IF(N27="pelet",Q27*'Założenia,wskaźniki, listy'!$G$47,IF(N27="olej opałowy",Q27*'Założenia,wskaźniki, listy'!$G$47,IF(N27="sieć ciepłownicza",0,IF(N27="prąd",0,0)))))))</f>
        <v>0</v>
      </c>
      <c r="AE27" s="639">
        <f>IF(N27="węgiel",Q27*'Założenia,wskaźniki, listy'!$C$48,IF(N27="gaz",Q27*'Założenia,wskaźniki, listy'!$D$48,IF(N27="drewno",Q27*'Założenia,wskaźniki, listy'!$E$48,IF(N27="pelet",Q27*'Założenia,wskaźniki, listy'!$G$48,IF(N27="olej opałowy",Q27*'Założenia,wskaźniki, listy'!$G$48,IF(N27="sieć ciepłownicza",0,IF(N27="prąd",0,0)))))))</f>
        <v>0</v>
      </c>
      <c r="AF27" s="639">
        <f>IF(N27="węgiel",Q27*'Założenia,wskaźniki, listy'!$C$49,IF(N27="gaz",Q27*'Założenia,wskaźniki, listy'!$D$49,IF(N27="drewno",Q27*'Założenia,wskaźniki, listy'!$E$49,IF(N27="pelet",Q27*'Założenia,wskaźniki, listy'!$G$49,IF(N27="olej opałowy",Q27*'Założenia,wskaźniki, listy'!$G$49,IF(N27="sieć ciepłownicza",0,IF(N27="prąd",0,0)))))))</f>
        <v>0</v>
      </c>
      <c r="AG27" s="639">
        <f>IF(N27="węgiel",Q27*'Założenia,wskaźniki, listy'!$C$50,IF(N27="gaz",Q27*'Założenia,wskaźniki, listy'!$D$50,IF(N27="drewno",Q27*'Założenia,wskaźniki, listy'!$E$50,IF(N27="pelet",Q27*'Założenia,wskaźniki, listy'!$G$50,IF(N27="olej opałowy",Q27*'Założenia,wskaźniki, listy'!$G$50,IF(N27="sieć ciepłownicza",0,IF(N27="prąd",0,0)))))))</f>
        <v>0</v>
      </c>
      <c r="AH27" s="640">
        <f>IF(L27="węgiel",(P27+R27)/2*'Założenia,wskaźniki, listy'!$C$4,IF(L27="gaz",(P27+R27)/2*'Założenia,wskaźniki, listy'!$C$5,IF(L27="drewno",(P27+R27)/2*'Założenia,wskaźniki, listy'!$C$6,IF(L27="pelet",(P27+R27)/2*'Założenia,wskaźniki, listy'!$C$7,IF(L27="olej opałowy",(P27+R27)/2*'Założenia,wskaźniki, listy'!$C$8,IF(L27="sieć ciepłownicza",(P27+R27)/2*'Założenia,wskaźniki, listy'!$C$9,IF(L27="sieć ciepłownicza",(P27+R27)/2*'Założenia,wskaźniki, listy'!$C$10,)))))))</f>
        <v>2339.5419999999999</v>
      </c>
      <c r="AI27" s="640">
        <f>IF(N27="węgiel",Q27*'Założenia,wskaźniki, listy'!$C$4,IF(N27="gaz",Q27*'Założenia,wskaźniki, listy'!$C$5,IF(N27="drewno",Q27*'Założenia,wskaźniki, listy'!$C$6,IF(N27="pelet",Q27*'Założenia,wskaźniki, listy'!$C$7,IF(N27="olej opałowy",Q27*'Założenia,wskaźniki, listy'!$C$8,IF(N27="sieć ciepłownicza",Q27*'Założenia,wskaźniki, listy'!$C$9,IF(N27="sieć ciepłownicza",Q27*'Założenia,wskaźniki, listy'!$C$10,0)))))))</f>
        <v>0</v>
      </c>
      <c r="AJ27" s="640">
        <f>S27*'Założenia,wskaźniki, listy'!$B$64*1000</f>
        <v>1281.4080000000001</v>
      </c>
      <c r="AK27" s="640">
        <f>(H27+I27)*'Założenia,wskaźniki, listy'!$D$64*12</f>
        <v>0</v>
      </c>
      <c r="AL27" s="640">
        <f>AK27*'Założenia,wskaźniki, listy'!$F$64</f>
        <v>0</v>
      </c>
      <c r="AM27" s="639">
        <f t="shared" si="24"/>
        <v>1.01745E-2</v>
      </c>
      <c r="AN27" s="639">
        <f t="shared" si="25"/>
        <v>9.0892200000000003E-3</v>
      </c>
      <c r="AO27" s="639">
        <f>V27+AC27+S27*'Założenia,wskaźniki, listy'!$J$46</f>
        <v>5.7396139999999995</v>
      </c>
      <c r="AP27" s="639">
        <f t="shared" si="26"/>
        <v>1.22094E-5</v>
      </c>
      <c r="AQ27" s="639">
        <f t="shared" si="27"/>
        <v>4.0697999999999998E-2</v>
      </c>
      <c r="AR27" s="639">
        <f t="shared" si="28"/>
        <v>7.1447599999999991E-3</v>
      </c>
      <c r="AS27" s="639">
        <f t="shared" si="29"/>
        <v>9.0965578900312913E-2</v>
      </c>
      <c r="AT27" s="647"/>
      <c r="AU27" s="647"/>
      <c r="AV27" s="624">
        <f t="shared" si="1"/>
        <v>110</v>
      </c>
      <c r="AW27" s="624">
        <f t="shared" si="2"/>
        <v>110</v>
      </c>
      <c r="AX27" s="624" t="b">
        <f t="shared" si="3"/>
        <v>0</v>
      </c>
      <c r="AY27" s="624" t="b">
        <f t="shared" si="4"/>
        <v>0</v>
      </c>
      <c r="AZ27" s="624" t="b">
        <f t="shared" si="5"/>
        <v>0</v>
      </c>
      <c r="BA27" s="624" t="b">
        <f t="shared" si="6"/>
        <v>0</v>
      </c>
      <c r="BB27" s="624" t="b">
        <f t="shared" si="7"/>
        <v>0</v>
      </c>
      <c r="BC27" s="624" t="b">
        <f t="shared" si="8"/>
        <v>0</v>
      </c>
      <c r="BD27" s="624" t="b">
        <f t="shared" si="9"/>
        <v>0</v>
      </c>
      <c r="BE27" s="624" t="b">
        <f t="shared" si="10"/>
        <v>0</v>
      </c>
      <c r="BF27" s="624">
        <f t="shared" si="11"/>
        <v>45.22</v>
      </c>
      <c r="BG27" s="624" t="b">
        <f t="shared" si="12"/>
        <v>0</v>
      </c>
      <c r="BH27" s="624" t="b">
        <f t="shared" si="13"/>
        <v>0</v>
      </c>
      <c r="BI27" s="624" t="b">
        <f t="shared" si="14"/>
        <v>0</v>
      </c>
      <c r="BJ27" s="624" t="b">
        <f t="shared" si="15"/>
        <v>0</v>
      </c>
      <c r="BK27" s="624" t="b">
        <f t="shared" si="16"/>
        <v>0</v>
      </c>
      <c r="BL27" s="624" t="b">
        <f t="shared" si="17"/>
        <v>0</v>
      </c>
      <c r="BM27" s="624" t="b">
        <f t="shared" si="18"/>
        <v>0</v>
      </c>
      <c r="BN27" s="624" t="b">
        <f t="shared" si="19"/>
        <v>0</v>
      </c>
      <c r="BO27" s="624" t="b">
        <f t="shared" si="20"/>
        <v>0</v>
      </c>
      <c r="BP27" s="624" t="b">
        <f t="shared" si="21"/>
        <v>0</v>
      </c>
      <c r="BQ27" s="624" t="b">
        <f t="shared" si="22"/>
        <v>0</v>
      </c>
    </row>
    <row r="28" spans="1:69" ht="8.25" customHeight="1">
      <c r="A28" s="1086"/>
      <c r="B28" s="644"/>
      <c r="C28" s="647"/>
      <c r="D28" s="645"/>
      <c r="E28" s="645"/>
      <c r="F28" s="644"/>
      <c r="G28" s="644"/>
      <c r="H28" s="644"/>
      <c r="I28" s="635"/>
      <c r="J28" s="644">
        <f>IF(F28&lt;=1966,'Założenia,wskaźniki, listy'!$H$4,IF(F28&gt;1966,IF(F28&lt;=1985,'Założenia,wskaźniki, listy'!$H$5,IF(F28&gt;1985,IF(F28&lt;=1992,'Założenia,wskaźniki, listy'!$H$6,IF(F28&gt;1992,IF(F28&lt;=1996,'Założenia,wskaźniki, listy'!$H$7,IF(F28&gt;1996,IF(F28&lt;=2013,'Założenia,wskaźniki, listy'!$H$8)))))))))</f>
        <v>290</v>
      </c>
      <c r="K28" s="644"/>
      <c r="L28" s="644" t="s">
        <v>79</v>
      </c>
      <c r="M28" s="644">
        <v>1</v>
      </c>
      <c r="N28" s="644"/>
      <c r="O28" s="637">
        <f t="shared" ref="O28" si="66">IF(P28&gt;0,(Q28+R28+P28)/2,Q28+R28)</f>
        <v>15</v>
      </c>
      <c r="P28" s="646">
        <f>IF(K28="kompletna",J28*G28*0.0036*'Założenia,wskaźniki, listy'!$P$9,IF(K28="częściowa",J28*G28*0.0036*'Założenia,wskaźniki, listy'!$P$10,IF(K28="brak",J28*G28*0.0036*'Założenia,wskaźniki, listy'!$P$11,0)))</f>
        <v>0</v>
      </c>
      <c r="Q28" s="638">
        <f>H28*'Założenia,wskaźniki, listy'!$L$15</f>
        <v>0</v>
      </c>
      <c r="R28" s="635">
        <f>IF(L28="węgiel",'Mieszkalne - baza'!M28*'Założenia,wskaźniki, listy'!$B$4,IF(L28="gaz",'Mieszkalne - baza'!M28*'Założenia,wskaźniki, listy'!$B$5,IF(L28="drewno",'Mieszkalne - baza'!M28*'Założenia,wskaźniki, listy'!$B$6,IF(L28="pelet",'Mieszkalne - baza'!M28*'Założenia,wskaźniki, listy'!$B$7,IF(L28="olej opałowy",'Mieszkalne - baza'!M28*'Założenia,wskaźniki, listy'!$B$8,IF(L28="sieć ciepłownicza",0,0))))))</f>
        <v>15</v>
      </c>
      <c r="S28" s="1085"/>
      <c r="T28" s="639">
        <f>IF(L28="węgiel",R28*'Założenia,wskaźniki, listy'!$C$44,IF(L28="gaz",R28*'Założenia,wskaźniki, listy'!$D$44,IF(L28="drewno",R28*'Założenia,wskaźniki, listy'!$E$44,IF(L28="pelet",R28*'Założenia,wskaźniki, listy'!$F$44,IF(L28="olej opałowy",R28*'Założenia,wskaźniki, listy'!$G$44,IF(L28="sieć ciepłownicza",0,IF(L28="prąd",0,0)))))))</f>
        <v>7.1999999999999998E-3</v>
      </c>
      <c r="U28" s="639">
        <f>IF(L28="węgiel",R28*'Założenia,wskaźniki, listy'!$C$45,IF(L28="gaz",R28*'Założenia,wskaźniki, listy'!$D$45,IF(L28="drewno",R28*'Założenia,wskaźniki, listy'!$E$45,IF(L28="pelet",R28*'Założenia,wskaźniki, listy'!$F$45,IF(L28="olej opałowy",R28*'Założenia,wskaźniki, listy'!$G$45,IF(L28="sieć ciepłownicza",0,IF(L28="prąd",0,0)))))))</f>
        <v>7.0499999999999998E-3</v>
      </c>
      <c r="V28" s="639">
        <f>IF(L28="węgiel",R28*'Założenia,wskaźniki, listy'!$C$46,IF(L28="gaz",R28*'Założenia,wskaźniki, listy'!$D$46,IF(L28="drewno",R28*'Założenia,wskaźniki, listy'!$E$46,IF(L28="pelet",R28*'Założenia,wskaźniki, listy'!$F$46,IF(L28="olej opałowy",R28*'Założenia,wskaźniki, listy'!$G$46,IF(L28="sieć ciepłownicza",R28*'Założenia,wskaźniki, listy'!$H$46,IF(L28="prąd",R28*'Założenia,wskaźniki, listy'!$I$46,0)))))))</f>
        <v>0</v>
      </c>
      <c r="W28" s="639">
        <f>IF(L28="węgiel",R28*'Założenia,wskaźniki, listy'!$C$47,IF(L28="gaz",R28*'Założenia,wskaźniki, listy'!$D$47,IF(L28="drewno",R28*'Założenia,wskaźniki, listy'!$E$47,IF(L28="pelet",R28*'Założenia,wskaźniki, listy'!$F$47,IF(L28="olej opałowy",R28*'Założenia,wskaźniki, listy'!$G$47,IF(L28="sieć ciepłownicza",0,IF(L28="prąd",0,0)))))))</f>
        <v>1.8150000000000002E-6</v>
      </c>
      <c r="X28" s="639">
        <f>IF(L28="węgiel",R28*'Założenia,wskaźniki, listy'!$C$48, IF(L28="gaz",R28*'Założenia,wskaźniki, listy'!$D$48,IF(L28="drewno",R28*'Założenia,wskaźniki, listy'!$E$48,IF(L28="pelet",R28*'Założenia,wskaźniki, listy'!$F$48,IF(L28="olej opałowy",R28*'Założenia,wskaźniki, listy'!$G$48,IF(L28="sieć ciepłownicza",0,IF(L28="prąd",0,0)))))))</f>
        <v>1.65E-4</v>
      </c>
      <c r="Y28" s="639">
        <f>IF(L28="węgiel",R28*'Założenia,wskaźniki, listy'!$C$49, IF(L28="gaz",R28*'Założenia,wskaźniki, listy'!$D$49, IF(L28="drewno",R28*'Założenia,wskaźniki, listy'!$E$49,IF(L28="pelet",R28*'Założenia,wskaźniki, listy'!$F$49,IF(L28="olej opałowy",R28*'Założenia,wskaźniki, listy'!$G$49,IF(L28="sieć ciepłownicza",0,IF(L28="prąd",0,0)))))))</f>
        <v>1.2000000000000001E-3</v>
      </c>
      <c r="Z28" s="639">
        <f>IF(L28="węgiel",R28*'Założenia,wskaźniki, listy'!$C$50,IF(L28="gaz",R28*'Założenia,wskaźniki, listy'!$D$50, IF(L28="drewno",R28*'Założenia,wskaźniki, listy'!$E$50,IF(L28="pelet",R28*'Założenia,wskaźniki, listy'!$F$50,IF(L28="pelet",R28*'Założenia,wskaźniki, listy'!$F$50,IF(L28="olej opałowy",R28*'Założenia,wskaźniki, listy'!$G$50,IF(L28="sieć ciepłownicza",0,IF(L28="prąd",0,0))))))))</f>
        <v>2.6909999999999998E-3</v>
      </c>
      <c r="AA28" s="639">
        <f>IF(N28="węgiel",Q28*'Założenia,wskaźniki, listy'!$C$44,IF(N28="gaz",Q28*'Założenia,wskaźniki, listy'!$D$44,IF(N28="drewno",Q28*'Założenia,wskaźniki, listy'!$E$44,IF(N28="pelet",Q28*'Założenia,wskaźniki, listy'!$G$44,IF(N28="olej opałowy",Q28*'Założenia,wskaźniki, listy'!$G$44,IF(N28="sieć ciepłownicza",0,IF(N28="prąd",0,0)))))))</f>
        <v>0</v>
      </c>
      <c r="AB28" s="639">
        <f>IF(N28="węgiel",Q28*'Założenia,wskaźniki, listy'!$C$45,IF(N28="gaz",Q28*'Założenia,wskaźniki, listy'!$D$45,IF(N28="drewno",Q28*'Założenia,wskaźniki, listy'!$E$45,IF(N28="pelet",Q28*'Założenia,wskaźniki, listy'!$G$45,IF(N28="olej opałowy",Q28*'Założenia,wskaźniki, listy'!$G$45,IF(N28="sieć ciepłownicza",0,IF(N28="prąd",0,0)))))))</f>
        <v>0</v>
      </c>
      <c r="AC28" s="639">
        <f>IF(N28="węgiel",Q28*'Założenia,wskaźniki, listy'!$C$46,IF(N28="gaz",Q28*'Założenia,wskaźniki, listy'!$D$46,IF(N28="drewno",Q28*'Założenia,wskaźniki, listy'!$E$46,IF(N28="pelet",Q28*'Założenia,wskaźniki, listy'!$G$46,IF(N28="olej opałowy",Q28*'Założenia,wskaźniki, listy'!$G$46,IF(N28="sieć ciepłownicza",0,IF(N28="prąd",0,0)))))))</f>
        <v>0</v>
      </c>
      <c r="AD28" s="639">
        <f>IF(N28="węgiel",Q28*'Założenia,wskaźniki, listy'!$C$47,IF(N28="gaz",Q28*'Założenia,wskaźniki, listy'!$D$47,IF(N28="drewno",Q28*'Założenia,wskaźniki, listy'!$E$47,IF(N28="pelet",Q28*'Założenia,wskaźniki, listy'!$G$47,IF(N28="olej opałowy",Q28*'Założenia,wskaźniki, listy'!$G$47,IF(N28="sieć ciepłownicza",0,IF(N28="prąd",0,0)))))))</f>
        <v>0</v>
      </c>
      <c r="AE28" s="639">
        <f>IF(N28="węgiel",Q28*'Założenia,wskaźniki, listy'!$C$48,IF(N28="gaz",Q28*'Założenia,wskaźniki, listy'!$D$48,IF(N28="drewno",Q28*'Założenia,wskaźniki, listy'!$E$48,IF(N28="pelet",Q28*'Założenia,wskaźniki, listy'!$G$48,IF(N28="olej opałowy",Q28*'Założenia,wskaźniki, listy'!$G$48,IF(N28="sieć ciepłownicza",0,IF(N28="prąd",0,0)))))))</f>
        <v>0</v>
      </c>
      <c r="AF28" s="639">
        <f>IF(N28="węgiel",Q28*'Założenia,wskaźniki, listy'!$C$49,IF(N28="gaz",Q28*'Założenia,wskaźniki, listy'!$D$49,IF(N28="drewno",Q28*'Założenia,wskaźniki, listy'!$E$49,IF(N28="pelet",Q28*'Założenia,wskaźniki, listy'!$G$49,IF(N28="olej opałowy",Q28*'Założenia,wskaźniki, listy'!$G$49,IF(N28="sieć ciepłownicza",0,IF(N28="prąd",0,0)))))))</f>
        <v>0</v>
      </c>
      <c r="AG28" s="639">
        <f>IF(N28="węgiel",Q28*'Założenia,wskaźniki, listy'!$C$50,IF(N28="gaz",Q28*'Założenia,wskaźniki, listy'!$D$50,IF(N28="drewno",Q28*'Założenia,wskaźniki, listy'!$E$50,IF(N28="pelet",Q28*'Założenia,wskaźniki, listy'!$G$50,IF(N28="olej opałowy",Q28*'Założenia,wskaźniki, listy'!$G$50,IF(N28="sieć ciepłownicza",0,IF(N28="prąd",0,0)))))))</f>
        <v>0</v>
      </c>
      <c r="AH28" s="640">
        <f>IF(L28="węgiel",(P28+R28)/2*'Założenia,wskaźniki, listy'!$C$4,IF(L28="gaz",(P28+R28)/2*'Założenia,wskaźniki, listy'!$C$5,IF(L28="drewno",(P28+R28)/2*'Założenia,wskaźniki, listy'!$C$6,IF(L28="pelet",(P28+R28)/2*'Założenia,wskaźniki, listy'!$C$7,IF(L28="olej opałowy",(P28+R28)/2*'Założenia,wskaźniki, listy'!$C$8,IF(L28="sieć ciepłownicza",(P28+R28)/2*'Założenia,wskaźniki, listy'!$C$9,IF(L28="sieć ciepłownicza",(P28+R28)/2*'Założenia,wskaźniki, listy'!$C$10,)))))))</f>
        <v>285</v>
      </c>
      <c r="AI28" s="640">
        <f>IF(N28="węgiel",Q28*'Założenia,wskaźniki, listy'!$C$4,IF(N28="gaz",Q28*'Założenia,wskaźniki, listy'!$C$5,IF(N28="drewno",Q28*'Założenia,wskaźniki, listy'!$C$6,IF(N28="pelet",Q28*'Założenia,wskaźniki, listy'!$C$7,IF(N28="olej opałowy",Q28*'Założenia,wskaźniki, listy'!$C$8,IF(N28="sieć ciepłownicza",Q28*'Założenia,wskaźniki, listy'!$C$9,IF(N28="sieć ciepłownicza",Q28*'Założenia,wskaźniki, listy'!$C$10,0)))))))</f>
        <v>0</v>
      </c>
      <c r="AJ28" s="640">
        <f>S28*'Założenia,wskaźniki, listy'!$B$64*1000</f>
        <v>0</v>
      </c>
      <c r="AK28" s="640">
        <f>(H28+I28)*'Założenia,wskaźniki, listy'!$D$64*12</f>
        <v>0</v>
      </c>
      <c r="AL28" s="640">
        <f>AK28*'Założenia,wskaźniki, listy'!$F$64</f>
        <v>0</v>
      </c>
      <c r="AM28" s="639">
        <f t="shared" si="24"/>
        <v>7.1999999999999998E-3</v>
      </c>
      <c r="AN28" s="639">
        <f t="shared" si="25"/>
        <v>7.0499999999999998E-3</v>
      </c>
      <c r="AO28" s="639">
        <f>V28+AC28+S28*'Założenia,wskaźniki, listy'!$J$46</f>
        <v>0</v>
      </c>
      <c r="AP28" s="639">
        <f t="shared" si="26"/>
        <v>1.8150000000000002E-6</v>
      </c>
      <c r="AQ28" s="639">
        <f t="shared" si="27"/>
        <v>1.65E-4</v>
      </c>
      <c r="AR28" s="639">
        <f t="shared" si="28"/>
        <v>1.2000000000000001E-3</v>
      </c>
      <c r="AS28" s="639">
        <f t="shared" si="29"/>
        <v>2.6909999999999998E-3</v>
      </c>
      <c r="AT28" s="647"/>
      <c r="AU28" s="647"/>
      <c r="AV28" s="624">
        <f t="shared" si="1"/>
        <v>0</v>
      </c>
      <c r="AW28" s="624" t="b">
        <f t="shared" si="2"/>
        <v>0</v>
      </c>
      <c r="AX28" s="624" t="b">
        <f t="shared" si="3"/>
        <v>0</v>
      </c>
      <c r="AY28" s="624" t="b">
        <f t="shared" si="4"/>
        <v>0</v>
      </c>
      <c r="AZ28" s="624" t="b">
        <f t="shared" si="5"/>
        <v>0</v>
      </c>
      <c r="BA28" s="624" t="b">
        <f t="shared" si="6"/>
        <v>0</v>
      </c>
      <c r="BB28" s="624" t="b">
        <f t="shared" si="7"/>
        <v>0</v>
      </c>
      <c r="BC28" s="624" t="b">
        <f t="shared" si="8"/>
        <v>0</v>
      </c>
      <c r="BD28" s="624" t="b">
        <f t="shared" si="9"/>
        <v>0</v>
      </c>
      <c r="BE28" s="624" t="b">
        <f t="shared" si="10"/>
        <v>0</v>
      </c>
      <c r="BF28" s="624" t="b">
        <f t="shared" si="11"/>
        <v>0</v>
      </c>
      <c r="BG28" s="624" t="b">
        <f t="shared" si="12"/>
        <v>0</v>
      </c>
      <c r="BH28" s="624">
        <f t="shared" si="13"/>
        <v>15</v>
      </c>
      <c r="BI28" s="624" t="b">
        <f t="shared" si="14"/>
        <v>0</v>
      </c>
      <c r="BJ28" s="624" t="b">
        <f t="shared" si="15"/>
        <v>0</v>
      </c>
      <c r="BK28" s="624" t="b">
        <f t="shared" si="16"/>
        <v>0</v>
      </c>
      <c r="BL28" s="624" t="b">
        <f t="shared" si="17"/>
        <v>0</v>
      </c>
      <c r="BM28" s="624" t="b">
        <f t="shared" si="18"/>
        <v>0</v>
      </c>
      <c r="BN28" s="624" t="b">
        <f t="shared" si="19"/>
        <v>0</v>
      </c>
      <c r="BO28" s="624" t="b">
        <f t="shared" si="20"/>
        <v>0</v>
      </c>
      <c r="BP28" s="624" t="b">
        <f t="shared" si="21"/>
        <v>0</v>
      </c>
      <c r="BQ28" s="624" t="b">
        <f t="shared" si="22"/>
        <v>0</v>
      </c>
    </row>
    <row r="29" spans="1:69">
      <c r="A29" s="1086">
        <v>13</v>
      </c>
      <c r="B29" s="644" t="s">
        <v>21</v>
      </c>
      <c r="C29" s="873" t="s">
        <v>621</v>
      </c>
      <c r="D29" s="636" t="s">
        <v>625</v>
      </c>
      <c r="E29" s="645">
        <v>1</v>
      </c>
      <c r="F29" s="644">
        <v>1969</v>
      </c>
      <c r="G29" s="644">
        <v>90</v>
      </c>
      <c r="H29" s="644"/>
      <c r="I29" s="635"/>
      <c r="J29" s="644">
        <f>IF(F29&lt;=1966,'Założenia,wskaźniki, listy'!$H$4,IF(F29&gt;1966,IF(F29&lt;=1985,'Założenia,wskaźniki, listy'!$H$5,IF(F29&gt;1985,IF(F29&lt;=1992,'Założenia,wskaźniki, listy'!$H$6,IF(F29&gt;1992,IF(F29&lt;=1996,'Założenia,wskaźniki, listy'!$H$7,IF(F29&gt;1996,IF(F29&lt;=2013,'Założenia,wskaźniki, listy'!$H$8)))))))))</f>
        <v>250</v>
      </c>
      <c r="K29" s="864" t="s">
        <v>31</v>
      </c>
      <c r="L29" s="872" t="s">
        <v>8</v>
      </c>
      <c r="M29" s="644">
        <v>2</v>
      </c>
      <c r="N29" s="644"/>
      <c r="O29" s="637">
        <f t="shared" si="23"/>
        <v>63.11</v>
      </c>
      <c r="P29" s="646">
        <f>IF(K29="kompletna",J29*G29*0.0036*'Założenia,wskaźniki, listy'!$P$9,IF(K29="częściowa",J29*G29*0.0036*'Założenia,wskaźniki, listy'!$P$10,IF(K29="brak",J29*G29*0.0036*'Założenia,wskaźniki, listy'!$P$11,0)))</f>
        <v>81</v>
      </c>
      <c r="Q29" s="638">
        <f>H29*'Założenia,wskaźniki, listy'!$L$15</f>
        <v>0</v>
      </c>
      <c r="R29" s="635">
        <f>IF(L29="węgiel",'Mieszkalne - baza'!M29*'Założenia,wskaźniki, listy'!$B$4,IF(L29="gaz",'Mieszkalne - baza'!M29*'Założenia,wskaźniki, listy'!$B$5,IF(L29="drewno",'Mieszkalne - baza'!M29*'Założenia,wskaźniki, listy'!$B$6,IF(L29="pelet",'Mieszkalne - baza'!M29*'Założenia,wskaźniki, listy'!$B$7,IF(L29="olej opałowy",'Mieszkalne - baza'!M29*'Założenia,wskaźniki, listy'!$B$8,IF(L29="sieć ciepłownicza",0,0))))))</f>
        <v>45.22</v>
      </c>
      <c r="S29" s="1084">
        <v>1.6355999999999999</v>
      </c>
      <c r="T29" s="639">
        <f>IF(L29="węgiel",R29*'Założenia,wskaźniki, listy'!$C$44,IF(L29="gaz",R29*'Założenia,wskaźniki, listy'!$D$44,IF(L29="drewno",R29*'Założenia,wskaźniki, listy'!$E$44,IF(L29="pelet",R29*'Założenia,wskaźniki, listy'!$F$44,IF(L29="olej opałowy",R29*'Założenia,wskaźniki, listy'!$G$44,IF(L29="sieć ciepłownicza",0,IF(L29="prąd",0,0)))))))</f>
        <v>1.01745E-2</v>
      </c>
      <c r="U29" s="639">
        <f>IF(L29="węgiel",R29*'Założenia,wskaźniki, listy'!$C$45,IF(L29="gaz",R29*'Założenia,wskaźniki, listy'!$D$45,IF(L29="drewno",R29*'Założenia,wskaźniki, listy'!$E$45,IF(L29="pelet",R29*'Założenia,wskaźniki, listy'!$F$45,IF(L29="olej opałowy",R29*'Założenia,wskaźniki, listy'!$G$45,IF(L29="sieć ciepłownicza",0,IF(L29="prąd",0,0)))))))</f>
        <v>9.0892200000000003E-3</v>
      </c>
      <c r="V29" s="639">
        <f>IF(L29="węgiel",R29*'Założenia,wskaźniki, listy'!$C$46,IF(L29="gaz",R29*'Założenia,wskaźniki, listy'!$D$46,IF(L29="drewno",R29*'Założenia,wskaźniki, listy'!$E$46,IF(L29="pelet",R29*'Założenia,wskaźniki, listy'!$F$46,IF(L29="olej opałowy",R29*'Założenia,wskaźniki, listy'!$G$46,IF(L29="sieć ciepłownicza",R29*'Założenia,wskaźniki, listy'!$H$46,IF(L29="prąd",R29*'Założenia,wskaźniki, listy'!$I$46,0)))))))</f>
        <v>4.2389227999999992</v>
      </c>
      <c r="W29" s="639">
        <f>IF(L29="węgiel",R29*'Założenia,wskaźniki, listy'!$C$47,IF(L29="gaz",R29*'Założenia,wskaźniki, listy'!$D$47,IF(L29="drewno",R29*'Założenia,wskaźniki, listy'!$E$47,IF(L29="pelet",R29*'Założenia,wskaźniki, listy'!$F$47,IF(L29="olej opałowy",R29*'Założenia,wskaźniki, listy'!$G$47,IF(L29="sieć ciepłownicza",0,IF(L29="prąd",0,0)))))))</f>
        <v>1.22094E-5</v>
      </c>
      <c r="X29" s="639">
        <f>IF(L29="węgiel",R29*'Założenia,wskaźniki, listy'!$C$48, IF(L29="gaz",R29*'Założenia,wskaźniki, listy'!$D$48,IF(L29="drewno",R29*'Założenia,wskaźniki, listy'!$E$48,IF(L29="pelet",R29*'Założenia,wskaźniki, listy'!$F$48,IF(L29="olej opałowy",R29*'Założenia,wskaźniki, listy'!$G$48,IF(L29="sieć ciepłownicza",0,IF(L29="prąd",0,0)))))))</f>
        <v>4.0697999999999998E-2</v>
      </c>
      <c r="Y29" s="639">
        <f>IF(L29="węgiel",R29*'Założenia,wskaźniki, listy'!$C$49, IF(L29="gaz",R29*'Założenia,wskaźniki, listy'!$D$49, IF(L29="drewno",R29*'Założenia,wskaźniki, listy'!$E$49,IF(L29="pelet",R29*'Założenia,wskaźniki, listy'!$F$49,IF(L29="olej opałowy",R29*'Założenia,wskaźniki, listy'!$G$49,IF(L29="sieć ciepłownicza",0,IF(L29="prąd",0,0)))))))</f>
        <v>7.1447599999999991E-3</v>
      </c>
      <c r="Z29" s="639">
        <f>IF(L29="węgiel",R29*'Założenia,wskaźniki, listy'!$C$50,IF(L29="gaz",R29*'Założenia,wskaźniki, listy'!$D$50, IF(L29="drewno",R29*'Założenia,wskaźniki, listy'!$E$50,IF(L29="pelet",R29*'Założenia,wskaźniki, listy'!$F$50,IF(L29="pelet",R29*'Założenia,wskaźniki, listy'!$F$50,IF(L29="olej opałowy",R29*'Założenia,wskaźniki, listy'!$G$50,IF(L29="sieć ciepłownicza",0,IF(L29="prąd",0,0))))))))</f>
        <v>9.0965578900312913E-2</v>
      </c>
      <c r="AA29" s="639">
        <f>IF(N29="węgiel",Q29*'Założenia,wskaźniki, listy'!$C$44,IF(N29="gaz",Q29*'Założenia,wskaźniki, listy'!$D$44,IF(N29="drewno",Q29*'Założenia,wskaźniki, listy'!$E$44,IF(N29="pelet",Q29*'Założenia,wskaźniki, listy'!$G$44,IF(N29="olej opałowy",Q29*'Założenia,wskaźniki, listy'!$G$44,IF(N29="sieć ciepłownicza",0,IF(N29="prąd",0,0)))))))</f>
        <v>0</v>
      </c>
      <c r="AB29" s="639">
        <f>IF(N29="węgiel",Q29*'Założenia,wskaźniki, listy'!$C$45,IF(N29="gaz",Q29*'Założenia,wskaźniki, listy'!$D$45,IF(N29="drewno",Q29*'Założenia,wskaźniki, listy'!$E$45,IF(N29="pelet",Q29*'Założenia,wskaźniki, listy'!$G$45,IF(N29="olej opałowy",Q29*'Założenia,wskaźniki, listy'!$G$45,IF(N29="sieć ciepłownicza",0,IF(N29="prąd",0,0)))))))</f>
        <v>0</v>
      </c>
      <c r="AC29" s="639">
        <f>IF(N29="węgiel",Q29*'Założenia,wskaźniki, listy'!$C$46,IF(N29="gaz",Q29*'Założenia,wskaźniki, listy'!$D$46,IF(N29="drewno",Q29*'Założenia,wskaźniki, listy'!$E$46,IF(N29="pelet",Q29*'Założenia,wskaźniki, listy'!$G$46,IF(N29="olej opałowy",Q29*'Założenia,wskaźniki, listy'!$G$46,IF(N29="sieć ciepłownicza",0,IF(N29="prąd",0,0)))))))</f>
        <v>0</v>
      </c>
      <c r="AD29" s="639">
        <f>IF(N29="węgiel",Q29*'Założenia,wskaźniki, listy'!$C$47,IF(N29="gaz",Q29*'Założenia,wskaźniki, listy'!$D$47,IF(N29="drewno",Q29*'Założenia,wskaźniki, listy'!$E$47,IF(N29="pelet",Q29*'Założenia,wskaźniki, listy'!$G$47,IF(N29="olej opałowy",Q29*'Założenia,wskaźniki, listy'!$G$47,IF(N29="sieć ciepłownicza",0,IF(N29="prąd",0,0)))))))</f>
        <v>0</v>
      </c>
      <c r="AE29" s="639">
        <f>IF(N29="węgiel",Q29*'Założenia,wskaźniki, listy'!$C$48,IF(N29="gaz",Q29*'Założenia,wskaźniki, listy'!$D$48,IF(N29="drewno",Q29*'Założenia,wskaźniki, listy'!$E$48,IF(N29="pelet",Q29*'Założenia,wskaźniki, listy'!$G$48,IF(N29="olej opałowy",Q29*'Założenia,wskaźniki, listy'!$G$48,IF(N29="sieć ciepłownicza",0,IF(N29="prąd",0,0)))))))</f>
        <v>0</v>
      </c>
      <c r="AF29" s="639">
        <f>IF(N29="węgiel",Q29*'Założenia,wskaźniki, listy'!$C$49,IF(N29="gaz",Q29*'Założenia,wskaźniki, listy'!$D$49,IF(N29="drewno",Q29*'Założenia,wskaźniki, listy'!$E$49,IF(N29="pelet",Q29*'Założenia,wskaźniki, listy'!$G$49,IF(N29="olej opałowy",Q29*'Założenia,wskaźniki, listy'!$G$49,IF(N29="sieć ciepłownicza",0,IF(N29="prąd",0,0)))))))</f>
        <v>0</v>
      </c>
      <c r="AG29" s="639">
        <f>IF(N29="węgiel",Q29*'Założenia,wskaźniki, listy'!$C$50,IF(N29="gaz",Q29*'Założenia,wskaźniki, listy'!$D$50,IF(N29="drewno",Q29*'Założenia,wskaźniki, listy'!$E$50,IF(N29="pelet",Q29*'Założenia,wskaźniki, listy'!$G$50,IF(N29="olej opałowy",Q29*'Założenia,wskaźniki, listy'!$G$50,IF(N29="sieć ciepłownicza",0,IF(N29="prąd",0,0)))))))</f>
        <v>0</v>
      </c>
      <c r="AH29" s="640">
        <f>IF(L29="węgiel",(P29+R29)/2*'Założenia,wskaźniki, listy'!$C$4,IF(L29="gaz",(P29+R29)/2*'Założenia,wskaźniki, listy'!$C$5,IF(L29="drewno",(P29+R29)/2*'Założenia,wskaźniki, listy'!$C$6,IF(L29="pelet",(P29+R29)/2*'Założenia,wskaźniki, listy'!$C$7,IF(L29="olej opałowy",(P29+R29)/2*'Założenia,wskaźniki, listy'!$C$8,IF(L29="sieć ciepłownicza",(P29+R29)/2*'Założenia,wskaźniki, listy'!$C$9,IF(L29="sieć ciepłownicza",(P29+R29)/2*'Założenia,wskaźniki, listy'!$C$10,)))))))</f>
        <v>2587.5099999999998</v>
      </c>
      <c r="AI29" s="640">
        <f>IF(N29="węgiel",Q29*'Założenia,wskaźniki, listy'!$C$4,IF(N29="gaz",Q29*'Założenia,wskaźniki, listy'!$C$5,IF(N29="drewno",Q29*'Założenia,wskaźniki, listy'!$C$6,IF(N29="pelet",Q29*'Założenia,wskaźniki, listy'!$C$7,IF(N29="olej opałowy",Q29*'Założenia,wskaźniki, listy'!$C$8,IF(N29="sieć ciepłownicza",Q29*'Założenia,wskaźniki, listy'!$C$9,IF(N29="sieć ciepłownicza",Q29*'Założenia,wskaźniki, listy'!$C$10,0)))))))</f>
        <v>0</v>
      </c>
      <c r="AJ29" s="640">
        <f>S29*'Założenia,wskaźniki, listy'!$B$64*1000</f>
        <v>1161.2760000000001</v>
      </c>
      <c r="AK29" s="640">
        <f>(H29+I29)*'Założenia,wskaźniki, listy'!$D$64*12</f>
        <v>0</v>
      </c>
      <c r="AL29" s="640">
        <f>AK29*'Założenia,wskaźniki, listy'!$F$64</f>
        <v>0</v>
      </c>
      <c r="AM29" s="639">
        <f t="shared" si="24"/>
        <v>1.01745E-2</v>
      </c>
      <c r="AN29" s="639">
        <f t="shared" si="25"/>
        <v>9.0892200000000003E-3</v>
      </c>
      <c r="AO29" s="639">
        <f>V29+AC29+S29*'Założenia,wskaźniki, listy'!$J$46</f>
        <v>5.598924199999999</v>
      </c>
      <c r="AP29" s="639">
        <f t="shared" si="26"/>
        <v>1.22094E-5</v>
      </c>
      <c r="AQ29" s="639">
        <f t="shared" si="27"/>
        <v>4.0697999999999998E-2</v>
      </c>
      <c r="AR29" s="639">
        <f t="shared" si="28"/>
        <v>7.1447599999999991E-3</v>
      </c>
      <c r="AS29" s="639">
        <f t="shared" si="29"/>
        <v>9.0965578900312913E-2</v>
      </c>
      <c r="AT29" s="647"/>
      <c r="AU29" s="647"/>
      <c r="AV29" s="624" t="b">
        <f t="shared" si="1"/>
        <v>0</v>
      </c>
      <c r="AW29" s="624" t="b">
        <f t="shared" si="2"/>
        <v>0</v>
      </c>
      <c r="AX29" s="624">
        <f t="shared" si="3"/>
        <v>90</v>
      </c>
      <c r="AY29" s="624" t="b">
        <f t="shared" si="4"/>
        <v>0</v>
      </c>
      <c r="AZ29" s="624" t="b">
        <f t="shared" si="5"/>
        <v>0</v>
      </c>
      <c r="BA29" s="624" t="b">
        <f t="shared" si="6"/>
        <v>0</v>
      </c>
      <c r="BB29" s="624" t="b">
        <f t="shared" si="7"/>
        <v>0</v>
      </c>
      <c r="BC29" s="624" t="b">
        <f t="shared" si="8"/>
        <v>0</v>
      </c>
      <c r="BD29" s="624" t="b">
        <f t="shared" si="9"/>
        <v>0</v>
      </c>
      <c r="BE29" s="624" t="b">
        <f t="shared" si="10"/>
        <v>0</v>
      </c>
      <c r="BF29" s="624">
        <f t="shared" si="11"/>
        <v>45.22</v>
      </c>
      <c r="BG29" s="624" t="b">
        <f t="shared" si="12"/>
        <v>0</v>
      </c>
      <c r="BH29" s="624" t="b">
        <f t="shared" si="13"/>
        <v>0</v>
      </c>
      <c r="BI29" s="624" t="b">
        <f t="shared" si="14"/>
        <v>0</v>
      </c>
      <c r="BJ29" s="624" t="b">
        <f t="shared" si="15"/>
        <v>0</v>
      </c>
      <c r="BK29" s="624" t="b">
        <f t="shared" si="16"/>
        <v>0</v>
      </c>
      <c r="BL29" s="624" t="b">
        <f t="shared" si="17"/>
        <v>0</v>
      </c>
      <c r="BM29" s="624" t="b">
        <f t="shared" si="18"/>
        <v>0</v>
      </c>
      <c r="BN29" s="624" t="b">
        <f t="shared" si="19"/>
        <v>0</v>
      </c>
      <c r="BO29" s="624" t="b">
        <f t="shared" si="20"/>
        <v>0</v>
      </c>
      <c r="BP29" s="624" t="b">
        <f t="shared" si="21"/>
        <v>0</v>
      </c>
      <c r="BQ29" s="624" t="b">
        <f t="shared" si="22"/>
        <v>0</v>
      </c>
    </row>
    <row r="30" spans="1:69" ht="8.25" customHeight="1">
      <c r="A30" s="1086"/>
      <c r="B30" s="644"/>
      <c r="C30" s="872"/>
      <c r="D30" s="645"/>
      <c r="E30" s="645"/>
      <c r="F30" s="644"/>
      <c r="G30" s="644"/>
      <c r="H30" s="644"/>
      <c r="I30" s="635"/>
      <c r="J30" s="644">
        <f>IF(F30&lt;=1966,'Założenia,wskaźniki, listy'!$H$4,IF(F30&gt;1966,IF(F30&lt;=1985,'Założenia,wskaźniki, listy'!$H$5,IF(F30&gt;1985,IF(F30&lt;=1992,'Założenia,wskaźniki, listy'!$H$6,IF(F30&gt;1992,IF(F30&lt;=1996,'Założenia,wskaźniki, listy'!$H$7,IF(F30&gt;1996,IF(F30&lt;=2013,'Założenia,wskaźniki, listy'!$H$8)))))))))</f>
        <v>290</v>
      </c>
      <c r="K30" s="872"/>
      <c r="L30" s="872" t="s">
        <v>79</v>
      </c>
      <c r="M30" s="644">
        <v>2</v>
      </c>
      <c r="N30" s="644"/>
      <c r="O30" s="637">
        <f t="shared" ref="O30" si="67">IF(P30&gt;0,(Q30+R30+P30)/2,Q30+R30)</f>
        <v>30</v>
      </c>
      <c r="P30" s="646">
        <f>IF(K30="kompletna",J30*G30*0.0036*'Założenia,wskaźniki, listy'!$P$9,IF(K30="częściowa",J30*G30*0.0036*'Założenia,wskaźniki, listy'!$P$10,IF(K30="brak",J30*G30*0.0036*'Założenia,wskaźniki, listy'!$P$11,0)))</f>
        <v>0</v>
      </c>
      <c r="Q30" s="638">
        <f>H30*'Założenia,wskaźniki, listy'!$L$15</f>
        <v>0</v>
      </c>
      <c r="R30" s="635">
        <f>IF(L30="węgiel",'Mieszkalne - baza'!M30*'Założenia,wskaźniki, listy'!$B$4,IF(L30="gaz",'Mieszkalne - baza'!M30*'Założenia,wskaźniki, listy'!$B$5,IF(L30="drewno",'Mieszkalne - baza'!M30*'Założenia,wskaźniki, listy'!$B$6,IF(L30="pelet",'Mieszkalne - baza'!M30*'Założenia,wskaźniki, listy'!$B$7,IF(L30="olej opałowy",'Mieszkalne - baza'!M30*'Założenia,wskaźniki, listy'!$B$8,IF(L30="sieć ciepłownicza",0,0))))))</f>
        <v>30</v>
      </c>
      <c r="S30" s="1085"/>
      <c r="T30" s="639">
        <f>IF(L30="węgiel",R30*'Założenia,wskaźniki, listy'!$C$44,IF(L30="gaz",R30*'Założenia,wskaźniki, listy'!$D$44,IF(L30="drewno",R30*'Założenia,wskaźniki, listy'!$E$44,IF(L30="pelet",R30*'Założenia,wskaźniki, listy'!$F$44,IF(L30="olej opałowy",R30*'Założenia,wskaźniki, listy'!$G$44,IF(L30="sieć ciepłownicza",0,IF(L30="prąd",0,0)))))))</f>
        <v>1.44E-2</v>
      </c>
      <c r="U30" s="639">
        <f>IF(L30="węgiel",R30*'Założenia,wskaźniki, listy'!$C$45,IF(L30="gaz",R30*'Założenia,wskaźniki, listy'!$D$45,IF(L30="drewno",R30*'Założenia,wskaźniki, listy'!$E$45,IF(L30="pelet",R30*'Założenia,wskaźniki, listy'!$F$45,IF(L30="olej opałowy",R30*'Założenia,wskaźniki, listy'!$G$45,IF(L30="sieć ciepłownicza",0,IF(L30="prąd",0,0)))))))</f>
        <v>1.41E-2</v>
      </c>
      <c r="V30" s="639">
        <f>IF(L30="węgiel",R30*'Założenia,wskaźniki, listy'!$C$46,IF(L30="gaz",R30*'Założenia,wskaźniki, listy'!$D$46,IF(L30="drewno",R30*'Założenia,wskaźniki, listy'!$E$46,IF(L30="pelet",R30*'Założenia,wskaźniki, listy'!$F$46,IF(L30="olej opałowy",R30*'Założenia,wskaźniki, listy'!$G$46,IF(L30="sieć ciepłownicza",R30*'Założenia,wskaźniki, listy'!$H$46,IF(L30="prąd",R30*'Założenia,wskaźniki, listy'!$I$46,0)))))))</f>
        <v>0</v>
      </c>
      <c r="W30" s="639">
        <f>IF(L30="węgiel",R30*'Założenia,wskaźniki, listy'!$C$47,IF(L30="gaz",R30*'Założenia,wskaźniki, listy'!$D$47,IF(L30="drewno",R30*'Założenia,wskaźniki, listy'!$E$47,IF(L30="pelet",R30*'Założenia,wskaźniki, listy'!$F$47,IF(L30="olej opałowy",R30*'Założenia,wskaźniki, listy'!$G$47,IF(L30="sieć ciepłownicza",0,IF(L30="prąd",0,0)))))))</f>
        <v>3.6300000000000004E-6</v>
      </c>
      <c r="X30" s="639">
        <f>IF(L30="węgiel",R30*'Założenia,wskaźniki, listy'!$C$48, IF(L30="gaz",R30*'Założenia,wskaźniki, listy'!$D$48,IF(L30="drewno",R30*'Założenia,wskaźniki, listy'!$E$48,IF(L30="pelet",R30*'Założenia,wskaźniki, listy'!$F$48,IF(L30="olej opałowy",R30*'Założenia,wskaźniki, listy'!$G$48,IF(L30="sieć ciepłownicza",0,IF(L30="prąd",0,0)))))))</f>
        <v>3.3E-4</v>
      </c>
      <c r="Y30" s="639">
        <f>IF(L30="węgiel",R30*'Założenia,wskaźniki, listy'!$C$49, IF(L30="gaz",R30*'Założenia,wskaźniki, listy'!$D$49, IF(L30="drewno",R30*'Założenia,wskaźniki, listy'!$E$49,IF(L30="pelet",R30*'Założenia,wskaźniki, listy'!$F$49,IF(L30="olej opałowy",R30*'Założenia,wskaźniki, listy'!$G$49,IF(L30="sieć ciepłownicza",0,IF(L30="prąd",0,0)))))))</f>
        <v>2.4000000000000002E-3</v>
      </c>
      <c r="Z30" s="639">
        <f>IF(L30="węgiel",R30*'Założenia,wskaźniki, listy'!$C$50,IF(L30="gaz",R30*'Założenia,wskaźniki, listy'!$D$50, IF(L30="drewno",R30*'Założenia,wskaźniki, listy'!$E$50,IF(L30="pelet",R30*'Założenia,wskaźniki, listy'!$F$50,IF(L30="pelet",R30*'Założenia,wskaźniki, listy'!$F$50,IF(L30="olej opałowy",R30*'Założenia,wskaźniki, listy'!$G$50,IF(L30="sieć ciepłownicza",0,IF(L30="prąd",0,0))))))))</f>
        <v>5.3819999999999996E-3</v>
      </c>
      <c r="AA30" s="639">
        <f>IF(N30="węgiel",Q30*'Założenia,wskaźniki, listy'!$C$44,IF(N30="gaz",Q30*'Założenia,wskaźniki, listy'!$D$44,IF(N30="drewno",Q30*'Założenia,wskaźniki, listy'!$E$44,IF(N30="pelet",Q30*'Założenia,wskaźniki, listy'!$G$44,IF(N30="olej opałowy",Q30*'Założenia,wskaźniki, listy'!$G$44,IF(N30="sieć ciepłownicza",0,IF(N30="prąd",0,0)))))))</f>
        <v>0</v>
      </c>
      <c r="AB30" s="639">
        <f>IF(N30="węgiel",Q30*'Założenia,wskaźniki, listy'!$C$45,IF(N30="gaz",Q30*'Założenia,wskaźniki, listy'!$D$45,IF(N30="drewno",Q30*'Założenia,wskaźniki, listy'!$E$45,IF(N30="pelet",Q30*'Założenia,wskaźniki, listy'!$G$45,IF(N30="olej opałowy",Q30*'Założenia,wskaźniki, listy'!$G$45,IF(N30="sieć ciepłownicza",0,IF(N30="prąd",0,0)))))))</f>
        <v>0</v>
      </c>
      <c r="AC30" s="639">
        <f>IF(N30="węgiel",Q30*'Założenia,wskaźniki, listy'!$C$46,IF(N30="gaz",Q30*'Założenia,wskaźniki, listy'!$D$46,IF(N30="drewno",Q30*'Założenia,wskaźniki, listy'!$E$46,IF(N30="pelet",Q30*'Założenia,wskaźniki, listy'!$G$46,IF(N30="olej opałowy",Q30*'Założenia,wskaźniki, listy'!$G$46,IF(N30="sieć ciepłownicza",0,IF(N30="prąd",0,0)))))))</f>
        <v>0</v>
      </c>
      <c r="AD30" s="639">
        <f>IF(N30="węgiel",Q30*'Założenia,wskaźniki, listy'!$C$47,IF(N30="gaz",Q30*'Założenia,wskaźniki, listy'!$D$47,IF(N30="drewno",Q30*'Założenia,wskaźniki, listy'!$E$47,IF(N30="pelet",Q30*'Założenia,wskaźniki, listy'!$G$47,IF(N30="olej opałowy",Q30*'Założenia,wskaźniki, listy'!$G$47,IF(N30="sieć ciepłownicza",0,IF(N30="prąd",0,0)))))))</f>
        <v>0</v>
      </c>
      <c r="AE30" s="639">
        <f>IF(N30="węgiel",Q30*'Założenia,wskaźniki, listy'!$C$48,IF(N30="gaz",Q30*'Założenia,wskaźniki, listy'!$D$48,IF(N30="drewno",Q30*'Założenia,wskaźniki, listy'!$E$48,IF(N30="pelet",Q30*'Założenia,wskaźniki, listy'!$G$48,IF(N30="olej opałowy",Q30*'Założenia,wskaźniki, listy'!$G$48,IF(N30="sieć ciepłownicza",0,IF(N30="prąd",0,0)))))))</f>
        <v>0</v>
      </c>
      <c r="AF30" s="639">
        <f>IF(N30="węgiel",Q30*'Założenia,wskaźniki, listy'!$C$49,IF(N30="gaz",Q30*'Założenia,wskaźniki, listy'!$D$49,IF(N30="drewno",Q30*'Założenia,wskaźniki, listy'!$E$49,IF(N30="pelet",Q30*'Założenia,wskaźniki, listy'!$G$49,IF(N30="olej opałowy",Q30*'Założenia,wskaźniki, listy'!$G$49,IF(N30="sieć ciepłownicza",0,IF(N30="prąd",0,0)))))))</f>
        <v>0</v>
      </c>
      <c r="AG30" s="639">
        <f>IF(N30="węgiel",Q30*'Założenia,wskaźniki, listy'!$C$50,IF(N30="gaz",Q30*'Założenia,wskaźniki, listy'!$D$50,IF(N30="drewno",Q30*'Założenia,wskaźniki, listy'!$E$50,IF(N30="pelet",Q30*'Założenia,wskaźniki, listy'!$G$50,IF(N30="olej opałowy",Q30*'Założenia,wskaźniki, listy'!$G$50,IF(N30="sieć ciepłownicza",0,IF(N30="prąd",0,0)))))))</f>
        <v>0</v>
      </c>
      <c r="AH30" s="640">
        <f>IF(L30="węgiel",(P30+R30)/2*'Założenia,wskaźniki, listy'!$C$4,IF(L30="gaz",(P30+R30)/2*'Założenia,wskaźniki, listy'!$C$5,IF(L30="drewno",(P30+R30)/2*'Założenia,wskaźniki, listy'!$C$6,IF(L30="pelet",(P30+R30)/2*'Założenia,wskaźniki, listy'!$C$7,IF(L30="olej opałowy",(P30+R30)/2*'Założenia,wskaźniki, listy'!$C$8,IF(L30="sieć ciepłownicza",(P30+R30)/2*'Założenia,wskaźniki, listy'!$C$9,IF(L30="sieć ciepłownicza",(P30+R30)/2*'Założenia,wskaźniki, listy'!$C$10,)))))))</f>
        <v>570</v>
      </c>
      <c r="AI30" s="640">
        <f>IF(N30="węgiel",Q30*'Założenia,wskaźniki, listy'!$C$4,IF(N30="gaz",Q30*'Założenia,wskaźniki, listy'!$C$5,IF(N30="drewno",Q30*'Założenia,wskaźniki, listy'!$C$6,IF(N30="pelet",Q30*'Założenia,wskaźniki, listy'!$C$7,IF(N30="olej opałowy",Q30*'Założenia,wskaźniki, listy'!$C$8,IF(N30="sieć ciepłownicza",Q30*'Założenia,wskaźniki, listy'!$C$9,IF(N30="sieć ciepłownicza",Q30*'Założenia,wskaźniki, listy'!$C$10,0)))))))</f>
        <v>0</v>
      </c>
      <c r="AJ30" s="640">
        <f>S30*'Założenia,wskaźniki, listy'!$B$64*1000</f>
        <v>0</v>
      </c>
      <c r="AK30" s="640">
        <f>(H30+I30)*'Założenia,wskaźniki, listy'!$D$64*12</f>
        <v>0</v>
      </c>
      <c r="AL30" s="640">
        <f>AK30*'Założenia,wskaźniki, listy'!$F$64</f>
        <v>0</v>
      </c>
      <c r="AM30" s="639">
        <f t="shared" ref="AM30" si="68">T30+AA30</f>
        <v>1.44E-2</v>
      </c>
      <c r="AN30" s="639">
        <f t="shared" ref="AN30" si="69">U30+AB30</f>
        <v>1.41E-2</v>
      </c>
      <c r="AO30" s="639">
        <f>V30+AC30+S30*'Założenia,wskaźniki, listy'!$J$46</f>
        <v>0</v>
      </c>
      <c r="AP30" s="639">
        <f t="shared" ref="AP30" si="70">W30+AD30</f>
        <v>3.6300000000000004E-6</v>
      </c>
      <c r="AQ30" s="639">
        <f t="shared" ref="AQ30" si="71">X30+AE30</f>
        <v>3.3E-4</v>
      </c>
      <c r="AR30" s="639">
        <f t="shared" ref="AR30" si="72">Y30+AF30</f>
        <v>2.4000000000000002E-3</v>
      </c>
      <c r="AS30" s="639">
        <f t="shared" ref="AS30" si="73">Z30+AG30</f>
        <v>5.3819999999999996E-3</v>
      </c>
      <c r="AT30" s="647"/>
      <c r="AU30" s="647"/>
      <c r="AV30" s="624">
        <f t="shared" si="1"/>
        <v>0</v>
      </c>
      <c r="AW30" s="624" t="b">
        <f t="shared" si="2"/>
        <v>0</v>
      </c>
      <c r="AX30" s="624" t="b">
        <f t="shared" si="3"/>
        <v>0</v>
      </c>
      <c r="AY30" s="624" t="b">
        <f t="shared" si="4"/>
        <v>0</v>
      </c>
      <c r="AZ30" s="624" t="b">
        <f t="shared" si="5"/>
        <v>0</v>
      </c>
      <c r="BA30" s="624" t="b">
        <f t="shared" si="6"/>
        <v>0</v>
      </c>
      <c r="BB30" s="624" t="b">
        <f t="shared" si="7"/>
        <v>0</v>
      </c>
      <c r="BC30" s="624" t="b">
        <f t="shared" si="8"/>
        <v>0</v>
      </c>
      <c r="BD30" s="624" t="b">
        <f t="shared" si="9"/>
        <v>0</v>
      </c>
      <c r="BE30" s="624" t="b">
        <f t="shared" si="10"/>
        <v>0</v>
      </c>
      <c r="BF30" s="624" t="b">
        <f t="shared" si="11"/>
        <v>0</v>
      </c>
      <c r="BG30" s="624" t="b">
        <f t="shared" si="12"/>
        <v>0</v>
      </c>
      <c r="BH30" s="624">
        <f t="shared" si="13"/>
        <v>30</v>
      </c>
      <c r="BI30" s="624" t="b">
        <f t="shared" si="14"/>
        <v>0</v>
      </c>
      <c r="BJ30" s="624" t="b">
        <f t="shared" si="15"/>
        <v>0</v>
      </c>
      <c r="BK30" s="624" t="b">
        <f t="shared" si="16"/>
        <v>0</v>
      </c>
      <c r="BL30" s="624" t="b">
        <f t="shared" si="17"/>
        <v>0</v>
      </c>
      <c r="BM30" s="624" t="b">
        <f t="shared" si="18"/>
        <v>0</v>
      </c>
      <c r="BN30" s="624" t="b">
        <f t="shared" si="19"/>
        <v>0</v>
      </c>
      <c r="BO30" s="624" t="b">
        <f t="shared" si="20"/>
        <v>0</v>
      </c>
      <c r="BP30" s="624" t="b">
        <f t="shared" si="21"/>
        <v>0</v>
      </c>
      <c r="BQ30" s="624" t="b">
        <f t="shared" si="22"/>
        <v>0</v>
      </c>
    </row>
    <row r="31" spans="1:69">
      <c r="A31" s="1086">
        <v>14</v>
      </c>
      <c r="B31" s="644" t="s">
        <v>21</v>
      </c>
      <c r="C31" s="873" t="s">
        <v>621</v>
      </c>
      <c r="D31" s="636" t="s">
        <v>622</v>
      </c>
      <c r="E31" s="645">
        <v>15</v>
      </c>
      <c r="F31" s="644">
        <v>1925</v>
      </c>
      <c r="G31" s="644">
        <v>70</v>
      </c>
      <c r="H31" s="644"/>
      <c r="I31" s="635"/>
      <c r="J31" s="644">
        <f>IF(F31&lt;=1966,'Założenia,wskaźniki, listy'!$H$4,IF(F31&gt;1966,IF(F31&lt;=1985,'Założenia,wskaźniki, listy'!$H$5,IF(F31&gt;1985,IF(F31&lt;=1992,'Założenia,wskaźniki, listy'!$H$6,IF(F31&gt;1992,IF(F31&lt;=1996,'Założenia,wskaźniki, listy'!$H$7,IF(F31&gt;1996,IF(F31&lt;=2013,'Założenia,wskaźniki, listy'!$H$8)))))))))</f>
        <v>290</v>
      </c>
      <c r="K31" s="864" t="s">
        <v>33</v>
      </c>
      <c r="L31" s="644" t="s">
        <v>79</v>
      </c>
      <c r="M31" s="635">
        <v>2</v>
      </c>
      <c r="N31" s="644"/>
      <c r="O31" s="637">
        <f t="shared" si="23"/>
        <v>44.231999999999999</v>
      </c>
      <c r="P31" s="646">
        <f>IF(K31="kompletna",J31*G31*0.0036*'Założenia,wskaźniki, listy'!$P$9,IF(K31="częściowa",J31*G31*0.0036*'Założenia,wskaźniki, listy'!$P$10,IF(K31="brak",J31*G31*0.0036*'Założenia,wskaźniki, listy'!$P$11,0)))</f>
        <v>58.463999999999999</v>
      </c>
      <c r="Q31" s="638">
        <f>H31*'Założenia,wskaźniki, listy'!$L$15</f>
        <v>0</v>
      </c>
      <c r="R31" s="635">
        <f>IF(L31="węgiel",'Mieszkalne - baza'!M31*'Założenia,wskaźniki, listy'!$B$4,IF(L31="gaz",'Mieszkalne - baza'!M31*'Założenia,wskaźniki, listy'!$B$5,IF(L31="drewno",'Mieszkalne - baza'!M31*'Założenia,wskaźniki, listy'!$B$6,IF(L31="pelet",'Mieszkalne - baza'!M31*'Założenia,wskaźniki, listy'!$B$7,IF(L31="olej opałowy",'Mieszkalne - baza'!M31*'Założenia,wskaźniki, listy'!$B$8,IF(L31="sieć ciepłownicza",0,0))))))</f>
        <v>30</v>
      </c>
      <c r="S31" s="1084">
        <v>1.6919999999999999</v>
      </c>
      <c r="T31" s="639">
        <f>IF(L31="węgiel",R31*'Założenia,wskaźniki, listy'!$C$44,IF(L31="gaz",R31*'Założenia,wskaźniki, listy'!$D$44,IF(L31="drewno",R31*'Założenia,wskaźniki, listy'!$E$44,IF(L31="pelet",R31*'Założenia,wskaźniki, listy'!$F$44,IF(L31="olej opałowy",R31*'Założenia,wskaźniki, listy'!$G$44,IF(L31="sieć ciepłownicza",0,IF(L31="prąd",0,0)))))))</f>
        <v>1.44E-2</v>
      </c>
      <c r="U31" s="639">
        <f>IF(L31="węgiel",R31*'Założenia,wskaźniki, listy'!$C$45,IF(L31="gaz",R31*'Założenia,wskaźniki, listy'!$D$45,IF(L31="drewno",R31*'Założenia,wskaźniki, listy'!$E$45,IF(L31="pelet",R31*'Założenia,wskaźniki, listy'!$F$45,IF(L31="olej opałowy",R31*'Założenia,wskaźniki, listy'!$G$45,IF(L31="sieć ciepłownicza",0,IF(L31="prąd",0,0)))))))</f>
        <v>1.41E-2</v>
      </c>
      <c r="V31" s="639">
        <f>IF(L31="węgiel",R31*'Założenia,wskaźniki, listy'!$C$46,IF(L31="gaz",R31*'Założenia,wskaźniki, listy'!$D$46,IF(L31="drewno",R31*'Założenia,wskaźniki, listy'!$E$46,IF(L31="pelet",R31*'Założenia,wskaźniki, listy'!$F$46,IF(L31="olej opałowy",R31*'Założenia,wskaźniki, listy'!$G$46,IF(L31="sieć ciepłownicza",R31*'Założenia,wskaźniki, listy'!$H$46,IF(L31="prąd",R31*'Założenia,wskaźniki, listy'!$I$46,0)))))))</f>
        <v>0</v>
      </c>
      <c r="W31" s="639">
        <f>IF(L31="węgiel",R31*'Założenia,wskaźniki, listy'!$C$47,IF(L31="gaz",R31*'Założenia,wskaźniki, listy'!$D$47,IF(L31="drewno",R31*'Założenia,wskaźniki, listy'!$E$47,IF(L31="pelet",R31*'Założenia,wskaźniki, listy'!$F$47,IF(L31="olej opałowy",R31*'Założenia,wskaźniki, listy'!$G$47,IF(L31="sieć ciepłownicza",0,IF(L31="prąd",0,0)))))))</f>
        <v>3.6300000000000004E-6</v>
      </c>
      <c r="X31" s="639">
        <f>IF(L31="węgiel",R31*'Założenia,wskaźniki, listy'!$C$48, IF(L31="gaz",R31*'Założenia,wskaźniki, listy'!$D$48,IF(L31="drewno",R31*'Założenia,wskaźniki, listy'!$E$48,IF(L31="pelet",R31*'Założenia,wskaźniki, listy'!$F$48,IF(L31="olej opałowy",R31*'Założenia,wskaźniki, listy'!$G$48,IF(L31="sieć ciepłownicza",0,IF(L31="prąd",0,0)))))))</f>
        <v>3.3E-4</v>
      </c>
      <c r="Y31" s="639">
        <f>IF(L31="węgiel",R31*'Założenia,wskaźniki, listy'!$C$49, IF(L31="gaz",R31*'Założenia,wskaźniki, listy'!$D$49, IF(L31="drewno",R31*'Założenia,wskaźniki, listy'!$E$49,IF(L31="pelet",R31*'Założenia,wskaźniki, listy'!$F$49,IF(L31="olej opałowy",R31*'Założenia,wskaźniki, listy'!$G$49,IF(L31="sieć ciepłownicza",0,IF(L31="prąd",0,0)))))))</f>
        <v>2.4000000000000002E-3</v>
      </c>
      <c r="Z31" s="639">
        <f>IF(L31="węgiel",R31*'Założenia,wskaźniki, listy'!$C$50,IF(L31="gaz",R31*'Założenia,wskaźniki, listy'!$D$50, IF(L31="drewno",R31*'Założenia,wskaźniki, listy'!$E$50,IF(L31="pelet",R31*'Założenia,wskaźniki, listy'!$F$50,IF(L31="pelet",R31*'Założenia,wskaźniki, listy'!$F$50,IF(L31="olej opałowy",R31*'Założenia,wskaźniki, listy'!$G$50,IF(L31="sieć ciepłownicza",0,IF(L31="prąd",0,0))))))))</f>
        <v>5.3819999999999996E-3</v>
      </c>
      <c r="AA31" s="639">
        <f>IF(N31="węgiel",Q31*'Założenia,wskaźniki, listy'!$C$44,IF(N31="gaz",Q31*'Założenia,wskaźniki, listy'!$D$44,IF(N31="drewno",Q31*'Założenia,wskaźniki, listy'!$E$44,IF(N31="pelet",Q31*'Założenia,wskaźniki, listy'!$G$44,IF(N31="olej opałowy",Q31*'Założenia,wskaźniki, listy'!$G$44,IF(N31="sieć ciepłownicza",0,IF(N31="prąd",0,0)))))))</f>
        <v>0</v>
      </c>
      <c r="AB31" s="639">
        <f>IF(N31="węgiel",Q31*'Założenia,wskaźniki, listy'!$C$45,IF(N31="gaz",Q31*'Założenia,wskaźniki, listy'!$D$45,IF(N31="drewno",Q31*'Założenia,wskaźniki, listy'!$E$45,IF(N31="pelet",Q31*'Założenia,wskaźniki, listy'!$G$45,IF(N31="olej opałowy",Q31*'Założenia,wskaźniki, listy'!$G$45,IF(N31="sieć ciepłownicza",0,IF(N31="prąd",0,0)))))))</f>
        <v>0</v>
      </c>
      <c r="AC31" s="639">
        <f>IF(N31="węgiel",Q31*'Założenia,wskaźniki, listy'!$C$46,IF(N31="gaz",Q31*'Założenia,wskaźniki, listy'!$D$46,IF(N31="drewno",Q31*'Założenia,wskaźniki, listy'!$E$46,IF(N31="pelet",Q31*'Założenia,wskaźniki, listy'!$G$46,IF(N31="olej opałowy",Q31*'Założenia,wskaźniki, listy'!$G$46,IF(N31="sieć ciepłownicza",0,IF(N31="prąd",0,0)))))))</f>
        <v>0</v>
      </c>
      <c r="AD31" s="639">
        <f>IF(N31="węgiel",Q31*'Założenia,wskaźniki, listy'!$C$47,IF(N31="gaz",Q31*'Założenia,wskaźniki, listy'!$D$47,IF(N31="drewno",Q31*'Założenia,wskaźniki, listy'!$E$47,IF(N31="pelet",Q31*'Założenia,wskaźniki, listy'!$G$47,IF(N31="olej opałowy",Q31*'Założenia,wskaźniki, listy'!$G$47,IF(N31="sieć ciepłownicza",0,IF(N31="prąd",0,0)))))))</f>
        <v>0</v>
      </c>
      <c r="AE31" s="639">
        <f>IF(N31="węgiel",Q31*'Założenia,wskaźniki, listy'!$C$48,IF(N31="gaz",Q31*'Założenia,wskaźniki, listy'!$D$48,IF(N31="drewno",Q31*'Założenia,wskaźniki, listy'!$E$48,IF(N31="pelet",Q31*'Założenia,wskaźniki, listy'!$G$48,IF(N31="olej opałowy",Q31*'Założenia,wskaźniki, listy'!$G$48,IF(N31="sieć ciepłownicza",0,IF(N31="prąd",0,0)))))))</f>
        <v>0</v>
      </c>
      <c r="AF31" s="639">
        <f>IF(N31="węgiel",Q31*'Założenia,wskaźniki, listy'!$C$49,IF(N31="gaz",Q31*'Założenia,wskaźniki, listy'!$D$49,IF(N31="drewno",Q31*'Założenia,wskaźniki, listy'!$E$49,IF(N31="pelet",Q31*'Założenia,wskaźniki, listy'!$G$49,IF(N31="olej opałowy",Q31*'Założenia,wskaźniki, listy'!$G$49,IF(N31="sieć ciepłownicza",0,IF(N31="prąd",0,0)))))))</f>
        <v>0</v>
      </c>
      <c r="AG31" s="639">
        <f>IF(N31="węgiel",Q31*'Założenia,wskaźniki, listy'!$C$50,IF(N31="gaz",Q31*'Założenia,wskaźniki, listy'!$D$50,IF(N31="drewno",Q31*'Założenia,wskaźniki, listy'!$E$50,IF(N31="pelet",Q31*'Założenia,wskaźniki, listy'!$G$50,IF(N31="olej opałowy",Q31*'Założenia,wskaźniki, listy'!$G$50,IF(N31="sieć ciepłownicza",0,IF(N31="prąd",0,0)))))))</f>
        <v>0</v>
      </c>
      <c r="AH31" s="640">
        <f>IF(L31="węgiel",(P31+R31)/2*'Założenia,wskaźniki, listy'!$C$4,IF(L31="gaz",(P31+R31)/2*'Założenia,wskaźniki, listy'!$C$5,IF(L31="drewno",(P31+R31)/2*'Założenia,wskaźniki, listy'!$C$6,IF(L31="pelet",(P31+R31)/2*'Założenia,wskaźniki, listy'!$C$7,IF(L31="olej opałowy",(P31+R31)/2*'Założenia,wskaźniki, listy'!$C$8,IF(L31="sieć ciepłownicza",(P31+R31)/2*'Założenia,wskaźniki, listy'!$C$9,IF(L31="sieć ciepłownicza",(P31+R31)/2*'Założenia,wskaźniki, listy'!$C$10,)))))))</f>
        <v>1680.816</v>
      </c>
      <c r="AI31" s="640">
        <f>IF(N31="węgiel",Q31*'Założenia,wskaźniki, listy'!$C$4,IF(N31="gaz",Q31*'Założenia,wskaźniki, listy'!$C$5,IF(N31="drewno",Q31*'Założenia,wskaźniki, listy'!$C$6,IF(N31="pelet",Q31*'Założenia,wskaźniki, listy'!$C$7,IF(N31="olej opałowy",Q31*'Założenia,wskaźniki, listy'!$C$8,IF(N31="sieć ciepłownicza",Q31*'Założenia,wskaźniki, listy'!$C$9,IF(N31="sieć ciepłownicza",Q31*'Założenia,wskaźniki, listy'!$C$10,0)))))))</f>
        <v>0</v>
      </c>
      <c r="AJ31" s="640">
        <f>S31*'Założenia,wskaźniki, listy'!$B$64*1000</f>
        <v>1201.32</v>
      </c>
      <c r="AK31" s="640">
        <f>(H31+I31)*'Założenia,wskaźniki, listy'!$D$64*12</f>
        <v>0</v>
      </c>
      <c r="AL31" s="640">
        <f>AK31*'Założenia,wskaźniki, listy'!$F$64</f>
        <v>0</v>
      </c>
      <c r="AM31" s="639">
        <f t="shared" si="24"/>
        <v>1.44E-2</v>
      </c>
      <c r="AN31" s="639">
        <f t="shared" si="25"/>
        <v>1.41E-2</v>
      </c>
      <c r="AO31" s="639">
        <f>V31+AC31+S31*'Założenia,wskaźniki, listy'!$J$46</f>
        <v>1.406898</v>
      </c>
      <c r="AP31" s="639">
        <f t="shared" si="26"/>
        <v>3.6300000000000004E-6</v>
      </c>
      <c r="AQ31" s="639">
        <f t="shared" si="27"/>
        <v>3.3E-4</v>
      </c>
      <c r="AR31" s="639">
        <f t="shared" si="28"/>
        <v>2.4000000000000002E-3</v>
      </c>
      <c r="AS31" s="639">
        <f t="shared" si="29"/>
        <v>5.3819999999999996E-3</v>
      </c>
      <c r="AT31" s="647"/>
      <c r="AU31" s="647"/>
      <c r="AV31" s="624">
        <f t="shared" si="1"/>
        <v>70</v>
      </c>
      <c r="AW31" s="624">
        <f t="shared" si="2"/>
        <v>35</v>
      </c>
      <c r="AX31" s="624" t="b">
        <f t="shared" si="3"/>
        <v>0</v>
      </c>
      <c r="AY31" s="624">
        <f t="shared" si="4"/>
        <v>0</v>
      </c>
      <c r="AZ31" s="624" t="b">
        <f t="shared" si="5"/>
        <v>0</v>
      </c>
      <c r="BA31" s="624">
        <f t="shared" si="6"/>
        <v>0</v>
      </c>
      <c r="BB31" s="624" t="b">
        <f t="shared" si="7"/>
        <v>0</v>
      </c>
      <c r="BC31" s="624">
        <f t="shared" si="8"/>
        <v>0</v>
      </c>
      <c r="BD31" s="624" t="b">
        <f t="shared" si="9"/>
        <v>0</v>
      </c>
      <c r="BE31" s="624">
        <f t="shared" si="10"/>
        <v>0</v>
      </c>
      <c r="BF31" s="624" t="b">
        <f t="shared" si="11"/>
        <v>0</v>
      </c>
      <c r="BG31" s="624" t="b">
        <f t="shared" si="12"/>
        <v>0</v>
      </c>
      <c r="BH31" s="624">
        <f t="shared" si="13"/>
        <v>30</v>
      </c>
      <c r="BI31" s="624" t="b">
        <f t="shared" si="14"/>
        <v>0</v>
      </c>
      <c r="BJ31" s="624" t="b">
        <f t="shared" si="15"/>
        <v>0</v>
      </c>
      <c r="BK31" s="624" t="b">
        <f t="shared" si="16"/>
        <v>0</v>
      </c>
      <c r="BL31" s="624" t="b">
        <f t="shared" si="17"/>
        <v>0</v>
      </c>
      <c r="BM31" s="624" t="b">
        <f t="shared" si="18"/>
        <v>0</v>
      </c>
      <c r="BN31" s="624" t="b">
        <f t="shared" si="19"/>
        <v>0</v>
      </c>
      <c r="BO31" s="624" t="b">
        <f t="shared" si="20"/>
        <v>0</v>
      </c>
      <c r="BP31" s="624" t="b">
        <f t="shared" si="21"/>
        <v>0</v>
      </c>
      <c r="BQ31" s="624" t="b">
        <f t="shared" si="22"/>
        <v>0</v>
      </c>
    </row>
    <row r="32" spans="1:69">
      <c r="A32" s="1086"/>
      <c r="B32" s="644"/>
      <c r="C32" s="872"/>
      <c r="D32" s="645"/>
      <c r="E32" s="645"/>
      <c r="F32" s="644"/>
      <c r="G32" s="644"/>
      <c r="H32" s="644"/>
      <c r="I32" s="635"/>
      <c r="J32" s="644">
        <f>IF(F32&lt;=1966,'Założenia,wskaźniki, listy'!$H$4,IF(F32&gt;1966,IF(F32&lt;=1985,'Założenia,wskaźniki, listy'!$H$5,IF(F32&gt;1985,IF(F32&lt;=1992,'Założenia,wskaźniki, listy'!$H$6,IF(F32&gt;1992,IF(F32&lt;=1996,'Założenia,wskaźniki, listy'!$H$7,IF(F32&gt;1996,IF(F32&lt;=2013,'Założenia,wskaźniki, listy'!$H$8)))))))))</f>
        <v>290</v>
      </c>
      <c r="K32" s="872"/>
      <c r="L32" s="644" t="s">
        <v>8</v>
      </c>
      <c r="M32" s="644">
        <v>1</v>
      </c>
      <c r="N32" s="644"/>
      <c r="O32" s="637">
        <f t="shared" ref="O32" si="74">IF(P32&gt;0,(Q32+R32+P32)/2,Q32+R32)</f>
        <v>22.61</v>
      </c>
      <c r="P32" s="646">
        <f>IF(K32="kompletna",J32*G32*0.0036*'Założenia,wskaźniki, listy'!$P$9,IF(K32="częściowa",J32*G32*0.0036*'Założenia,wskaźniki, listy'!$P$10,IF(K32="brak",J32*G32*0.0036*'Założenia,wskaźniki, listy'!$P$11,0)))</f>
        <v>0</v>
      </c>
      <c r="Q32" s="638">
        <f>H32*'Założenia,wskaźniki, listy'!$L$15</f>
        <v>0</v>
      </c>
      <c r="R32" s="635">
        <f>IF(L32="węgiel",'Mieszkalne - baza'!M32*'Założenia,wskaźniki, listy'!$B$4,IF(L32="gaz",'Mieszkalne - baza'!M32*'Założenia,wskaźniki, listy'!$B$5,IF(L32="drewno",'Mieszkalne - baza'!M32*'Założenia,wskaźniki, listy'!$B$6,IF(L32="pelet",'Mieszkalne - baza'!M32*'Założenia,wskaźniki, listy'!$B$7,IF(L32="olej opałowy",'Mieszkalne - baza'!M32*'Założenia,wskaźniki, listy'!$B$8,IF(L32="sieć ciepłownicza",0,0))))))</f>
        <v>22.61</v>
      </c>
      <c r="S32" s="1085"/>
      <c r="T32" s="639">
        <f>IF(L32="węgiel",R32*'Założenia,wskaźniki, listy'!$C$44,IF(L32="gaz",R32*'Założenia,wskaźniki, listy'!$D$44,IF(L32="drewno",R32*'Założenia,wskaźniki, listy'!$E$44,IF(L32="pelet",R32*'Założenia,wskaźniki, listy'!$F$44,IF(L32="olej opałowy",R32*'Założenia,wskaźniki, listy'!$G$44,IF(L32="sieć ciepłownicza",0,IF(L32="prąd",0,0)))))))</f>
        <v>5.0872499999999998E-3</v>
      </c>
      <c r="U32" s="639">
        <f>IF(L32="węgiel",R32*'Założenia,wskaźniki, listy'!$C$45,IF(L32="gaz",R32*'Założenia,wskaźniki, listy'!$D$45,IF(L32="drewno",R32*'Założenia,wskaźniki, listy'!$E$45,IF(L32="pelet",R32*'Założenia,wskaźniki, listy'!$F$45,IF(L32="olej opałowy",R32*'Założenia,wskaźniki, listy'!$G$45,IF(L32="sieć ciepłownicza",0,IF(L32="prąd",0,0)))))))</f>
        <v>4.5446100000000001E-3</v>
      </c>
      <c r="V32" s="639">
        <f>IF(L32="węgiel",R32*'Założenia,wskaźniki, listy'!$C$46,IF(L32="gaz",R32*'Założenia,wskaźniki, listy'!$D$46,IF(L32="drewno",R32*'Założenia,wskaźniki, listy'!$E$46,IF(L32="pelet",R32*'Założenia,wskaźniki, listy'!$F$46,IF(L32="olej opałowy",R32*'Założenia,wskaźniki, listy'!$G$46,IF(L32="sieć ciepłownicza",R32*'Założenia,wskaźniki, listy'!$H$46,IF(L32="prąd",R32*'Założenia,wskaźniki, listy'!$I$46,0)))))))</f>
        <v>2.1194613999999996</v>
      </c>
      <c r="W32" s="639">
        <f>IF(L32="węgiel",R32*'Założenia,wskaźniki, listy'!$C$47,IF(L32="gaz",R32*'Założenia,wskaźniki, listy'!$D$47,IF(L32="drewno",R32*'Założenia,wskaźniki, listy'!$E$47,IF(L32="pelet",R32*'Założenia,wskaźniki, listy'!$F$47,IF(L32="olej opałowy",R32*'Założenia,wskaźniki, listy'!$G$47,IF(L32="sieć ciepłownicza",0,IF(L32="prąd",0,0)))))))</f>
        <v>6.1047000000000002E-6</v>
      </c>
      <c r="X32" s="639">
        <f>IF(L32="węgiel",R32*'Założenia,wskaźniki, listy'!$C$48, IF(L32="gaz",R32*'Założenia,wskaźniki, listy'!$D$48,IF(L32="drewno",R32*'Założenia,wskaźniki, listy'!$E$48,IF(L32="pelet",R32*'Założenia,wskaźniki, listy'!$F$48,IF(L32="olej opałowy",R32*'Założenia,wskaźniki, listy'!$G$48,IF(L32="sieć ciepłownicza",0,IF(L32="prąd",0,0)))))))</f>
        <v>2.0348999999999999E-2</v>
      </c>
      <c r="Y32" s="639">
        <f>IF(L32="węgiel",R32*'Założenia,wskaźniki, listy'!$C$49, IF(L32="gaz",R32*'Założenia,wskaźniki, listy'!$D$49, IF(L32="drewno",R32*'Założenia,wskaźniki, listy'!$E$49,IF(L32="pelet",R32*'Założenia,wskaźniki, listy'!$F$49,IF(L32="olej opałowy",R32*'Założenia,wskaźniki, listy'!$G$49,IF(L32="sieć ciepłownicza",0,IF(L32="prąd",0,0)))))))</f>
        <v>3.5723799999999996E-3</v>
      </c>
      <c r="Z32" s="639">
        <f>IF(L32="węgiel",R32*'Założenia,wskaźniki, listy'!$C$50,IF(L32="gaz",R32*'Założenia,wskaźniki, listy'!$D$50, IF(L32="drewno",R32*'Założenia,wskaźniki, listy'!$E$50,IF(L32="pelet",R32*'Założenia,wskaźniki, listy'!$F$50,IF(L32="pelet",R32*'Założenia,wskaźniki, listy'!$F$50,IF(L32="olej opałowy",R32*'Założenia,wskaźniki, listy'!$G$50,IF(L32="sieć ciepłownicza",0,IF(L32="prąd",0,0))))))))</f>
        <v>4.5482789450156456E-2</v>
      </c>
      <c r="AA32" s="639">
        <f>IF(N32="węgiel",Q32*'Założenia,wskaźniki, listy'!$C$44,IF(N32="gaz",Q32*'Założenia,wskaźniki, listy'!$D$44,IF(N32="drewno",Q32*'Założenia,wskaźniki, listy'!$E$44,IF(N32="pelet",Q32*'Założenia,wskaźniki, listy'!$G$44,IF(N32="olej opałowy",Q32*'Założenia,wskaźniki, listy'!$G$44,IF(N32="sieć ciepłownicza",0,IF(N32="prąd",0,0)))))))</f>
        <v>0</v>
      </c>
      <c r="AB32" s="639">
        <f>IF(N32="węgiel",Q32*'Założenia,wskaźniki, listy'!$C$45,IF(N32="gaz",Q32*'Założenia,wskaźniki, listy'!$D$45,IF(N32="drewno",Q32*'Założenia,wskaźniki, listy'!$E$45,IF(N32="pelet",Q32*'Założenia,wskaźniki, listy'!$G$45,IF(N32="olej opałowy",Q32*'Założenia,wskaźniki, listy'!$G$45,IF(N32="sieć ciepłownicza",0,IF(N32="prąd",0,0)))))))</f>
        <v>0</v>
      </c>
      <c r="AC32" s="639">
        <f>IF(N32="węgiel",Q32*'Założenia,wskaźniki, listy'!$C$46,IF(N32="gaz",Q32*'Założenia,wskaźniki, listy'!$D$46,IF(N32="drewno",Q32*'Założenia,wskaźniki, listy'!$E$46,IF(N32="pelet",Q32*'Założenia,wskaźniki, listy'!$G$46,IF(N32="olej opałowy",Q32*'Założenia,wskaźniki, listy'!$G$46,IF(N32="sieć ciepłownicza",0,IF(N32="prąd",0,0)))))))</f>
        <v>0</v>
      </c>
      <c r="AD32" s="639">
        <f>IF(N32="węgiel",Q32*'Założenia,wskaźniki, listy'!$C$47,IF(N32="gaz",Q32*'Założenia,wskaźniki, listy'!$D$47,IF(N32="drewno",Q32*'Założenia,wskaźniki, listy'!$E$47,IF(N32="pelet",Q32*'Założenia,wskaźniki, listy'!$G$47,IF(N32="olej opałowy",Q32*'Założenia,wskaźniki, listy'!$G$47,IF(N32="sieć ciepłownicza",0,IF(N32="prąd",0,0)))))))</f>
        <v>0</v>
      </c>
      <c r="AE32" s="639">
        <f>IF(N32="węgiel",Q32*'Założenia,wskaźniki, listy'!$C$48,IF(N32="gaz",Q32*'Założenia,wskaźniki, listy'!$D$48,IF(N32="drewno",Q32*'Założenia,wskaźniki, listy'!$E$48,IF(N32="pelet",Q32*'Założenia,wskaźniki, listy'!$G$48,IF(N32="olej opałowy",Q32*'Założenia,wskaźniki, listy'!$G$48,IF(N32="sieć ciepłownicza",0,IF(N32="prąd",0,0)))))))</f>
        <v>0</v>
      </c>
      <c r="AF32" s="639">
        <f>IF(N32="węgiel",Q32*'Założenia,wskaźniki, listy'!$C$49,IF(N32="gaz",Q32*'Założenia,wskaźniki, listy'!$D$49,IF(N32="drewno",Q32*'Założenia,wskaźniki, listy'!$E$49,IF(N32="pelet",Q32*'Założenia,wskaźniki, listy'!$G$49,IF(N32="olej opałowy",Q32*'Założenia,wskaźniki, listy'!$G$49,IF(N32="sieć ciepłownicza",0,IF(N32="prąd",0,0)))))))</f>
        <v>0</v>
      </c>
      <c r="AG32" s="639">
        <f>IF(N32="węgiel",Q32*'Założenia,wskaźniki, listy'!$C$50,IF(N32="gaz",Q32*'Założenia,wskaźniki, listy'!$D$50,IF(N32="drewno",Q32*'Założenia,wskaźniki, listy'!$E$50,IF(N32="pelet",Q32*'Założenia,wskaźniki, listy'!$G$50,IF(N32="olej opałowy",Q32*'Założenia,wskaźniki, listy'!$G$50,IF(N32="sieć ciepłownicza",0,IF(N32="prąd",0,0)))))))</f>
        <v>0</v>
      </c>
      <c r="AH32" s="640">
        <f>IF(L32="węgiel",(P32+R32)/2*'Założenia,wskaźniki, listy'!$C$4,IF(L32="gaz",(P32+R32)/2*'Założenia,wskaźniki, listy'!$C$5,IF(L32="drewno",(P32+R32)/2*'Założenia,wskaźniki, listy'!$C$6,IF(L32="pelet",(P32+R32)/2*'Założenia,wskaźniki, listy'!$C$7,IF(L32="olej opałowy",(P32+R32)/2*'Założenia,wskaźniki, listy'!$C$8,IF(L32="sieć ciepłownicza",(P32+R32)/2*'Założenia,wskaźniki, listy'!$C$9,IF(L32="sieć ciepłownicza",(P32+R32)/2*'Założenia,wskaźniki, listy'!$C$10,)))))))</f>
        <v>463.505</v>
      </c>
      <c r="AI32" s="640">
        <f>IF(N32="węgiel",Q32*'Założenia,wskaźniki, listy'!$C$4,IF(N32="gaz",Q32*'Założenia,wskaźniki, listy'!$C$5,IF(N32="drewno",Q32*'Założenia,wskaźniki, listy'!$C$6,IF(N32="pelet",Q32*'Założenia,wskaźniki, listy'!$C$7,IF(N32="olej opałowy",Q32*'Założenia,wskaźniki, listy'!$C$8,IF(N32="sieć ciepłownicza",Q32*'Założenia,wskaźniki, listy'!$C$9,IF(N32="sieć ciepłownicza",Q32*'Założenia,wskaźniki, listy'!$C$10,0)))))))</f>
        <v>0</v>
      </c>
      <c r="AJ32" s="640">
        <f>S32*'Założenia,wskaźniki, listy'!$B$64*1000</f>
        <v>0</v>
      </c>
      <c r="AK32" s="640">
        <f>(H32+I32)*'Założenia,wskaźniki, listy'!$D$64*12</f>
        <v>0</v>
      </c>
      <c r="AL32" s="640">
        <f>AK32*'Założenia,wskaźniki, listy'!$F$64</f>
        <v>0</v>
      </c>
      <c r="AM32" s="639">
        <f t="shared" ref="AM32" si="75">T32+AA32</f>
        <v>5.0872499999999998E-3</v>
      </c>
      <c r="AN32" s="639">
        <f t="shared" ref="AN32" si="76">U32+AB32</f>
        <v>4.5446100000000001E-3</v>
      </c>
      <c r="AO32" s="639">
        <f>V32+AC32+S32*'Założenia,wskaźniki, listy'!$J$46</f>
        <v>2.1194613999999996</v>
      </c>
      <c r="AP32" s="639">
        <f t="shared" ref="AP32" si="77">W32+AD32</f>
        <v>6.1047000000000002E-6</v>
      </c>
      <c r="AQ32" s="639">
        <f t="shared" ref="AQ32" si="78">X32+AE32</f>
        <v>2.0348999999999999E-2</v>
      </c>
      <c r="AR32" s="639">
        <f t="shared" ref="AR32" si="79">Y32+AF32</f>
        <v>3.5723799999999996E-3</v>
      </c>
      <c r="AS32" s="639">
        <f t="shared" ref="AS32" si="80">Z32+AG32</f>
        <v>4.5482789450156456E-2</v>
      </c>
      <c r="AT32" s="647"/>
      <c r="AU32" s="647"/>
      <c r="AV32" s="624">
        <f t="shared" si="1"/>
        <v>0</v>
      </c>
      <c r="AW32" s="624" t="b">
        <f t="shared" si="2"/>
        <v>0</v>
      </c>
      <c r="AX32" s="624" t="b">
        <f t="shared" si="3"/>
        <v>0</v>
      </c>
      <c r="AY32" s="624" t="b">
        <f t="shared" si="4"/>
        <v>0</v>
      </c>
      <c r="AZ32" s="624" t="b">
        <f t="shared" si="5"/>
        <v>0</v>
      </c>
      <c r="BA32" s="624" t="b">
        <f t="shared" si="6"/>
        <v>0</v>
      </c>
      <c r="BB32" s="624" t="b">
        <f t="shared" si="7"/>
        <v>0</v>
      </c>
      <c r="BC32" s="624" t="b">
        <f t="shared" si="8"/>
        <v>0</v>
      </c>
      <c r="BD32" s="624" t="b">
        <f t="shared" si="9"/>
        <v>0</v>
      </c>
      <c r="BE32" s="624" t="b">
        <f t="shared" si="10"/>
        <v>0</v>
      </c>
      <c r="BF32" s="624">
        <f t="shared" si="11"/>
        <v>22.61</v>
      </c>
      <c r="BG32" s="624" t="b">
        <f t="shared" si="12"/>
        <v>0</v>
      </c>
      <c r="BH32" s="624" t="b">
        <f t="shared" si="13"/>
        <v>0</v>
      </c>
      <c r="BI32" s="624" t="b">
        <f t="shared" si="14"/>
        <v>0</v>
      </c>
      <c r="BJ32" s="624" t="b">
        <f t="shared" si="15"/>
        <v>0</v>
      </c>
      <c r="BK32" s="624" t="b">
        <f t="shared" si="16"/>
        <v>0</v>
      </c>
      <c r="BL32" s="624" t="b">
        <f t="shared" si="17"/>
        <v>0</v>
      </c>
      <c r="BM32" s="624" t="b">
        <f t="shared" si="18"/>
        <v>0</v>
      </c>
      <c r="BN32" s="624" t="b">
        <f t="shared" si="19"/>
        <v>0</v>
      </c>
      <c r="BO32" s="624" t="b">
        <f t="shared" si="20"/>
        <v>0</v>
      </c>
      <c r="BP32" s="624" t="b">
        <f t="shared" si="21"/>
        <v>0</v>
      </c>
      <c r="BQ32" s="624" t="b">
        <f t="shared" si="22"/>
        <v>0</v>
      </c>
    </row>
    <row r="33" spans="1:69">
      <c r="A33" s="1086">
        <v>15</v>
      </c>
      <c r="B33" s="872" t="s">
        <v>21</v>
      </c>
      <c r="C33" s="873" t="s">
        <v>621</v>
      </c>
      <c r="D33" s="636" t="s">
        <v>622</v>
      </c>
      <c r="E33" s="645">
        <v>1</v>
      </c>
      <c r="F33" s="644">
        <v>1948</v>
      </c>
      <c r="G33" s="644">
        <v>60</v>
      </c>
      <c r="H33" s="644"/>
      <c r="I33" s="635"/>
      <c r="J33" s="644">
        <f>IF(F33&lt;=1966,'Założenia,wskaźniki, listy'!$H$4,IF(F33&gt;1966,IF(F33&lt;=1985,'Założenia,wskaźniki, listy'!$H$5,IF(F33&gt;1985,IF(F33&lt;=1992,'Założenia,wskaźniki, listy'!$H$6,IF(F33&gt;1992,IF(F33&lt;=1996,'Założenia,wskaźniki, listy'!$H$7,IF(F33&gt;1996,IF(F33&lt;=2013,'Założenia,wskaźniki, listy'!$H$8)))))))))</f>
        <v>290</v>
      </c>
      <c r="K33" s="864" t="s">
        <v>31</v>
      </c>
      <c r="L33" s="644" t="s">
        <v>8</v>
      </c>
      <c r="M33" s="644">
        <v>1</v>
      </c>
      <c r="N33" s="644"/>
      <c r="O33" s="637">
        <f t="shared" si="23"/>
        <v>42.625</v>
      </c>
      <c r="P33" s="646">
        <f>IF(K33="kompletna",J33*G33*0.0036*'Założenia,wskaźniki, listy'!$P$9,IF(K33="częściowa",J33*G33*0.0036*'Założenia,wskaźniki, listy'!$P$10,IF(K33="brak",J33*G33*0.0036*'Założenia,wskaźniki, listy'!$P$11,0)))</f>
        <v>62.64</v>
      </c>
      <c r="Q33" s="638">
        <f>H33*'Założenia,wskaźniki, listy'!$L$15</f>
        <v>0</v>
      </c>
      <c r="R33" s="635">
        <f>IF(L33="węgiel",'Mieszkalne - baza'!M33*'Założenia,wskaźniki, listy'!$B$4,IF(L33="gaz",'Mieszkalne - baza'!M33*'Założenia,wskaźniki, listy'!$B$5,IF(L33="drewno",'Mieszkalne - baza'!M33*'Założenia,wskaźniki, listy'!$B$6,IF(L33="pelet",'Mieszkalne - baza'!M33*'Założenia,wskaźniki, listy'!$B$7,IF(L33="olej opałowy",'Mieszkalne - baza'!M33*'Założenia,wskaźniki, listy'!$B$8,IF(L33="sieć ciepłownicza",0,0))))))</f>
        <v>22.61</v>
      </c>
      <c r="S33" s="1084">
        <v>1.8048000000000002</v>
      </c>
      <c r="T33" s="639">
        <f>IF(L33="węgiel",R33*'Założenia,wskaźniki, listy'!$C$44,IF(L33="gaz",R33*'Założenia,wskaźniki, listy'!$D$44,IF(L33="drewno",R33*'Założenia,wskaźniki, listy'!$E$44,IF(L33="pelet",R33*'Założenia,wskaźniki, listy'!$F$44,IF(L33="olej opałowy",R33*'Założenia,wskaźniki, listy'!$G$44,IF(L33="sieć ciepłownicza",0,IF(L33="prąd",0,0)))))))</f>
        <v>5.0872499999999998E-3</v>
      </c>
      <c r="U33" s="639">
        <f>IF(L33="węgiel",R33*'Założenia,wskaźniki, listy'!$C$45,IF(L33="gaz",R33*'Założenia,wskaźniki, listy'!$D$45,IF(L33="drewno",R33*'Założenia,wskaźniki, listy'!$E$45,IF(L33="pelet",R33*'Założenia,wskaźniki, listy'!$F$45,IF(L33="olej opałowy",R33*'Założenia,wskaźniki, listy'!$G$45,IF(L33="sieć ciepłownicza",0,IF(L33="prąd",0,0)))))))</f>
        <v>4.5446100000000001E-3</v>
      </c>
      <c r="V33" s="639">
        <f>IF(L33="węgiel",R33*'Założenia,wskaźniki, listy'!$C$46,IF(L33="gaz",R33*'Założenia,wskaźniki, listy'!$D$46,IF(L33="drewno",R33*'Założenia,wskaźniki, listy'!$E$46,IF(L33="pelet",R33*'Założenia,wskaźniki, listy'!$F$46,IF(L33="olej opałowy",R33*'Założenia,wskaźniki, listy'!$G$46,IF(L33="sieć ciepłownicza",R33*'Założenia,wskaźniki, listy'!$H$46,IF(L33="prąd",R33*'Założenia,wskaźniki, listy'!$I$46,0)))))))</f>
        <v>2.1194613999999996</v>
      </c>
      <c r="W33" s="639">
        <f>IF(L33="węgiel",R33*'Założenia,wskaźniki, listy'!$C$47,IF(L33="gaz",R33*'Założenia,wskaźniki, listy'!$D$47,IF(L33="drewno",R33*'Założenia,wskaźniki, listy'!$E$47,IF(L33="pelet",R33*'Założenia,wskaźniki, listy'!$F$47,IF(L33="olej opałowy",R33*'Założenia,wskaźniki, listy'!$G$47,IF(L33="sieć ciepłownicza",0,IF(L33="prąd",0,0)))))))</f>
        <v>6.1047000000000002E-6</v>
      </c>
      <c r="X33" s="639">
        <f>IF(L33="węgiel",R33*'Założenia,wskaźniki, listy'!$C$48, IF(L33="gaz",R33*'Założenia,wskaźniki, listy'!$D$48,IF(L33="drewno",R33*'Założenia,wskaźniki, listy'!$E$48,IF(L33="pelet",R33*'Założenia,wskaźniki, listy'!$F$48,IF(L33="olej opałowy",R33*'Założenia,wskaźniki, listy'!$G$48,IF(L33="sieć ciepłownicza",0,IF(L33="prąd",0,0)))))))</f>
        <v>2.0348999999999999E-2</v>
      </c>
      <c r="Y33" s="639">
        <f>IF(L33="węgiel",R33*'Założenia,wskaźniki, listy'!$C$49, IF(L33="gaz",R33*'Założenia,wskaźniki, listy'!$D$49, IF(L33="drewno",R33*'Założenia,wskaźniki, listy'!$E$49,IF(L33="pelet",R33*'Założenia,wskaźniki, listy'!$F$49,IF(L33="olej opałowy",R33*'Założenia,wskaźniki, listy'!$G$49,IF(L33="sieć ciepłownicza",0,IF(L33="prąd",0,0)))))))</f>
        <v>3.5723799999999996E-3</v>
      </c>
      <c r="Z33" s="639">
        <f>IF(L33="węgiel",R33*'Założenia,wskaźniki, listy'!$C$50,IF(L33="gaz",R33*'Założenia,wskaźniki, listy'!$D$50, IF(L33="drewno",R33*'Założenia,wskaźniki, listy'!$E$50,IF(L33="pelet",R33*'Założenia,wskaźniki, listy'!$F$50,IF(L33="pelet",R33*'Założenia,wskaźniki, listy'!$F$50,IF(L33="olej opałowy",R33*'Założenia,wskaźniki, listy'!$G$50,IF(L33="sieć ciepłownicza",0,IF(L33="prąd",0,0))))))))</f>
        <v>4.5482789450156456E-2</v>
      </c>
      <c r="AA33" s="639">
        <f>IF(N33="węgiel",Q33*'Założenia,wskaźniki, listy'!$C$44,IF(N33="gaz",Q33*'Założenia,wskaźniki, listy'!$D$44,IF(N33="drewno",Q33*'Założenia,wskaźniki, listy'!$E$44,IF(N33="pelet",Q33*'Założenia,wskaźniki, listy'!$G$44,IF(N33="olej opałowy",Q33*'Założenia,wskaźniki, listy'!$G$44,IF(N33="sieć ciepłownicza",0,IF(N33="prąd",0,0)))))))</f>
        <v>0</v>
      </c>
      <c r="AB33" s="639">
        <f>IF(N33="węgiel",Q33*'Założenia,wskaźniki, listy'!$C$45,IF(N33="gaz",Q33*'Założenia,wskaźniki, listy'!$D$45,IF(N33="drewno",Q33*'Założenia,wskaźniki, listy'!$E$45,IF(N33="pelet",Q33*'Założenia,wskaźniki, listy'!$G$45,IF(N33="olej opałowy",Q33*'Założenia,wskaźniki, listy'!$G$45,IF(N33="sieć ciepłownicza",0,IF(N33="prąd",0,0)))))))</f>
        <v>0</v>
      </c>
      <c r="AC33" s="639">
        <f>IF(N33="węgiel",Q33*'Założenia,wskaźniki, listy'!$C$46,IF(N33="gaz",Q33*'Założenia,wskaźniki, listy'!$D$46,IF(N33="drewno",Q33*'Założenia,wskaźniki, listy'!$E$46,IF(N33="pelet",Q33*'Założenia,wskaźniki, listy'!$G$46,IF(N33="olej opałowy",Q33*'Założenia,wskaźniki, listy'!$G$46,IF(N33="sieć ciepłownicza",0,IF(N33="prąd",0,0)))))))</f>
        <v>0</v>
      </c>
      <c r="AD33" s="639">
        <f>IF(N33="węgiel",Q33*'Założenia,wskaźniki, listy'!$C$47,IF(N33="gaz",Q33*'Założenia,wskaźniki, listy'!$D$47,IF(N33="drewno",Q33*'Założenia,wskaźniki, listy'!$E$47,IF(N33="pelet",Q33*'Założenia,wskaźniki, listy'!$G$47,IF(N33="olej opałowy",Q33*'Założenia,wskaźniki, listy'!$G$47,IF(N33="sieć ciepłownicza",0,IF(N33="prąd",0,0)))))))</f>
        <v>0</v>
      </c>
      <c r="AE33" s="639">
        <f>IF(N33="węgiel",Q33*'Założenia,wskaźniki, listy'!$C$48,IF(N33="gaz",Q33*'Założenia,wskaźniki, listy'!$D$48,IF(N33="drewno",Q33*'Założenia,wskaźniki, listy'!$E$48,IF(N33="pelet",Q33*'Założenia,wskaźniki, listy'!$G$48,IF(N33="olej opałowy",Q33*'Założenia,wskaźniki, listy'!$G$48,IF(N33="sieć ciepłownicza",0,IF(N33="prąd",0,0)))))))</f>
        <v>0</v>
      </c>
      <c r="AF33" s="639">
        <f>IF(N33="węgiel",Q33*'Założenia,wskaźniki, listy'!$C$49,IF(N33="gaz",Q33*'Założenia,wskaźniki, listy'!$D$49,IF(N33="drewno",Q33*'Założenia,wskaźniki, listy'!$E$49,IF(N33="pelet",Q33*'Założenia,wskaźniki, listy'!$G$49,IF(N33="olej opałowy",Q33*'Założenia,wskaźniki, listy'!$G$49,IF(N33="sieć ciepłownicza",0,IF(N33="prąd",0,0)))))))</f>
        <v>0</v>
      </c>
      <c r="AG33" s="639">
        <f>IF(N33="węgiel",Q33*'Założenia,wskaźniki, listy'!$C$50,IF(N33="gaz",Q33*'Założenia,wskaźniki, listy'!$D$50,IF(N33="drewno",Q33*'Założenia,wskaźniki, listy'!$E$50,IF(N33="pelet",Q33*'Założenia,wskaźniki, listy'!$G$50,IF(N33="olej opałowy",Q33*'Założenia,wskaźniki, listy'!$G$50,IF(N33="sieć ciepłownicza",0,IF(N33="prąd",0,0)))))))</f>
        <v>0</v>
      </c>
      <c r="AH33" s="640">
        <f>IF(L33="węgiel",(P33+R33)/2*'Założenia,wskaźniki, listy'!$C$4,IF(L33="gaz",(P33+R33)/2*'Założenia,wskaźniki, listy'!$C$5,IF(L33="drewno",(P33+R33)/2*'Założenia,wskaźniki, listy'!$C$6,IF(L33="pelet",(P33+R33)/2*'Założenia,wskaźniki, listy'!$C$7,IF(L33="olej opałowy",(P33+R33)/2*'Założenia,wskaźniki, listy'!$C$8,IF(L33="sieć ciepłownicza",(P33+R33)/2*'Założenia,wskaźniki, listy'!$C$9,IF(L33="sieć ciepłownicza",(P33+R33)/2*'Założenia,wskaźniki, listy'!$C$10,)))))))</f>
        <v>1747.625</v>
      </c>
      <c r="AI33" s="640">
        <f>IF(N33="węgiel",Q33*'Założenia,wskaźniki, listy'!$C$4,IF(N33="gaz",Q33*'Założenia,wskaźniki, listy'!$C$5,IF(N33="drewno",Q33*'Założenia,wskaźniki, listy'!$C$6,IF(N33="pelet",Q33*'Założenia,wskaźniki, listy'!$C$7,IF(N33="olej opałowy",Q33*'Założenia,wskaźniki, listy'!$C$8,IF(N33="sieć ciepłownicza",Q33*'Założenia,wskaźniki, listy'!$C$9,IF(N33="sieć ciepłownicza",Q33*'Założenia,wskaźniki, listy'!$C$10,0)))))))</f>
        <v>0</v>
      </c>
      <c r="AJ33" s="640">
        <f>S33*'Założenia,wskaźniki, listy'!$B$64*1000</f>
        <v>1281.4080000000001</v>
      </c>
      <c r="AK33" s="640">
        <f>(H33+I33)*'Założenia,wskaźniki, listy'!$D$64*12</f>
        <v>0</v>
      </c>
      <c r="AL33" s="640">
        <f>AK33*'Założenia,wskaźniki, listy'!$F$64</f>
        <v>0</v>
      </c>
      <c r="AM33" s="639">
        <f t="shared" si="24"/>
        <v>5.0872499999999998E-3</v>
      </c>
      <c r="AN33" s="639">
        <f t="shared" si="25"/>
        <v>4.5446100000000001E-3</v>
      </c>
      <c r="AO33" s="639">
        <f>V33+AC33+S33*'Założenia,wskaźniki, listy'!$J$46</f>
        <v>3.6201525999999999</v>
      </c>
      <c r="AP33" s="639">
        <f t="shared" si="26"/>
        <v>6.1047000000000002E-6</v>
      </c>
      <c r="AQ33" s="639">
        <f t="shared" si="27"/>
        <v>2.0348999999999999E-2</v>
      </c>
      <c r="AR33" s="639">
        <f t="shared" si="28"/>
        <v>3.5723799999999996E-3</v>
      </c>
      <c r="AS33" s="639">
        <f t="shared" si="29"/>
        <v>4.5482789450156456E-2</v>
      </c>
      <c r="AT33" s="647"/>
      <c r="AU33" s="647"/>
      <c r="AV33" s="624">
        <f t="shared" si="1"/>
        <v>60</v>
      </c>
      <c r="AW33" s="624" t="b">
        <f t="shared" si="2"/>
        <v>0</v>
      </c>
      <c r="AX33" s="624" t="b">
        <f t="shared" si="3"/>
        <v>0</v>
      </c>
      <c r="AY33" s="624" t="b">
        <f t="shared" si="4"/>
        <v>0</v>
      </c>
      <c r="AZ33" s="624" t="b">
        <f t="shared" si="5"/>
        <v>0</v>
      </c>
      <c r="BA33" s="624" t="b">
        <f t="shared" si="6"/>
        <v>0</v>
      </c>
      <c r="BB33" s="624" t="b">
        <f t="shared" si="7"/>
        <v>0</v>
      </c>
      <c r="BC33" s="624" t="b">
        <f t="shared" si="8"/>
        <v>0</v>
      </c>
      <c r="BD33" s="624" t="b">
        <f t="shared" si="9"/>
        <v>0</v>
      </c>
      <c r="BE33" s="624" t="b">
        <f t="shared" si="10"/>
        <v>0</v>
      </c>
      <c r="BF33" s="624">
        <f t="shared" si="11"/>
        <v>22.61</v>
      </c>
      <c r="BG33" s="624" t="b">
        <f t="shared" si="12"/>
        <v>0</v>
      </c>
      <c r="BH33" s="624" t="b">
        <f t="shared" si="13"/>
        <v>0</v>
      </c>
      <c r="BI33" s="624" t="b">
        <f t="shared" si="14"/>
        <v>0</v>
      </c>
      <c r="BJ33" s="624" t="b">
        <f t="shared" si="15"/>
        <v>0</v>
      </c>
      <c r="BK33" s="624" t="b">
        <f t="shared" si="16"/>
        <v>0</v>
      </c>
      <c r="BL33" s="624" t="b">
        <f t="shared" si="17"/>
        <v>0</v>
      </c>
      <c r="BM33" s="624" t="b">
        <f t="shared" si="18"/>
        <v>0</v>
      </c>
      <c r="BN33" s="624" t="b">
        <f t="shared" si="19"/>
        <v>0</v>
      </c>
      <c r="BO33" s="624" t="b">
        <f t="shared" si="20"/>
        <v>0</v>
      </c>
      <c r="BP33" s="624" t="b">
        <f t="shared" si="21"/>
        <v>0</v>
      </c>
      <c r="BQ33" s="624" t="b">
        <f t="shared" si="22"/>
        <v>0</v>
      </c>
    </row>
    <row r="34" spans="1:69">
      <c r="A34" s="1086"/>
      <c r="B34" s="872"/>
      <c r="C34" s="874"/>
      <c r="D34" s="645"/>
      <c r="E34" s="645"/>
      <c r="F34" s="644"/>
      <c r="G34" s="644"/>
      <c r="H34" s="644"/>
      <c r="I34" s="635"/>
      <c r="J34" s="644">
        <f>IF(F34&lt;=1966,'Założenia,wskaźniki, listy'!$H$4,IF(F34&gt;1966,IF(F34&lt;=1985,'Założenia,wskaźniki, listy'!$H$5,IF(F34&gt;1985,IF(F34&lt;=1992,'Założenia,wskaźniki, listy'!$H$6,IF(F34&gt;1992,IF(F34&lt;=1996,'Założenia,wskaźniki, listy'!$H$7,IF(F34&gt;1996,IF(F34&lt;=2013,'Założenia,wskaźniki, listy'!$H$8)))))))))</f>
        <v>290</v>
      </c>
      <c r="K34" s="872"/>
      <c r="L34" s="644" t="s">
        <v>79</v>
      </c>
      <c r="M34" s="644">
        <v>2</v>
      </c>
      <c r="N34" s="644"/>
      <c r="O34" s="637">
        <f t="shared" ref="O34" si="81">IF(P34&gt;0,(Q34+R34+P34)/2,Q34+R34)</f>
        <v>30</v>
      </c>
      <c r="P34" s="646">
        <f>IF(K34="kompletna",J34*G34*0.0036*'Założenia,wskaźniki, listy'!$P$9,IF(K34="częściowa",J34*G34*0.0036*'Założenia,wskaźniki, listy'!$P$10,IF(K34="brak",J34*G34*0.0036*'Założenia,wskaźniki, listy'!$P$11,0)))</f>
        <v>0</v>
      </c>
      <c r="Q34" s="638">
        <f>H34*'Założenia,wskaźniki, listy'!$L$15</f>
        <v>0</v>
      </c>
      <c r="R34" s="635">
        <f>IF(L34="węgiel",'Mieszkalne - baza'!M34*'Założenia,wskaźniki, listy'!$B$4,IF(L34="gaz",'Mieszkalne - baza'!M34*'Założenia,wskaźniki, listy'!$B$5,IF(L34="drewno",'Mieszkalne - baza'!M34*'Założenia,wskaźniki, listy'!$B$6,IF(L34="pelet",'Mieszkalne - baza'!M34*'Założenia,wskaźniki, listy'!$B$7,IF(L34="olej opałowy",'Mieszkalne - baza'!M34*'Założenia,wskaźniki, listy'!$B$8,IF(L34="sieć ciepłownicza",0,0))))))</f>
        <v>30</v>
      </c>
      <c r="S34" s="1085"/>
      <c r="T34" s="639">
        <f>IF(L34="węgiel",R34*'Założenia,wskaźniki, listy'!$C$44,IF(L34="gaz",R34*'Założenia,wskaźniki, listy'!$D$44,IF(L34="drewno",R34*'Założenia,wskaźniki, listy'!$E$44,IF(L34="pelet",R34*'Założenia,wskaźniki, listy'!$F$44,IF(L34="olej opałowy",R34*'Założenia,wskaźniki, listy'!$G$44,IF(L34="sieć ciepłownicza",0,IF(L34="prąd",0,0)))))))</f>
        <v>1.44E-2</v>
      </c>
      <c r="U34" s="639">
        <f>IF(L34="węgiel",R34*'Założenia,wskaźniki, listy'!$C$45,IF(L34="gaz",R34*'Założenia,wskaźniki, listy'!$D$45,IF(L34="drewno",R34*'Założenia,wskaźniki, listy'!$E$45,IF(L34="pelet",R34*'Założenia,wskaźniki, listy'!$F$45,IF(L34="olej opałowy",R34*'Założenia,wskaźniki, listy'!$G$45,IF(L34="sieć ciepłownicza",0,IF(L34="prąd",0,0)))))))</f>
        <v>1.41E-2</v>
      </c>
      <c r="V34" s="639">
        <f>IF(L34="węgiel",R34*'Założenia,wskaźniki, listy'!$C$46,IF(L34="gaz",R34*'Założenia,wskaźniki, listy'!$D$46,IF(L34="drewno",R34*'Założenia,wskaźniki, listy'!$E$46,IF(L34="pelet",R34*'Założenia,wskaźniki, listy'!$F$46,IF(L34="olej opałowy",R34*'Założenia,wskaźniki, listy'!$G$46,IF(L34="sieć ciepłownicza",R34*'Założenia,wskaźniki, listy'!$H$46,IF(L34="prąd",R34*'Założenia,wskaźniki, listy'!$I$46,0)))))))</f>
        <v>0</v>
      </c>
      <c r="W34" s="639">
        <f>IF(L34="węgiel",R34*'Założenia,wskaźniki, listy'!$C$47,IF(L34="gaz",R34*'Założenia,wskaźniki, listy'!$D$47,IF(L34="drewno",R34*'Założenia,wskaźniki, listy'!$E$47,IF(L34="pelet",R34*'Założenia,wskaźniki, listy'!$F$47,IF(L34="olej opałowy",R34*'Założenia,wskaźniki, listy'!$G$47,IF(L34="sieć ciepłownicza",0,IF(L34="prąd",0,0)))))))</f>
        <v>3.6300000000000004E-6</v>
      </c>
      <c r="X34" s="639">
        <f>IF(L34="węgiel",R34*'Założenia,wskaźniki, listy'!$C$48, IF(L34="gaz",R34*'Założenia,wskaźniki, listy'!$D$48,IF(L34="drewno",R34*'Założenia,wskaźniki, listy'!$E$48,IF(L34="pelet",R34*'Założenia,wskaźniki, listy'!$F$48,IF(L34="olej opałowy",R34*'Założenia,wskaźniki, listy'!$G$48,IF(L34="sieć ciepłownicza",0,IF(L34="prąd",0,0)))))))</f>
        <v>3.3E-4</v>
      </c>
      <c r="Y34" s="639">
        <f>IF(L34="węgiel",R34*'Założenia,wskaźniki, listy'!$C$49, IF(L34="gaz",R34*'Założenia,wskaźniki, listy'!$D$49, IF(L34="drewno",R34*'Założenia,wskaźniki, listy'!$E$49,IF(L34="pelet",R34*'Założenia,wskaźniki, listy'!$F$49,IF(L34="olej opałowy",R34*'Założenia,wskaźniki, listy'!$G$49,IF(L34="sieć ciepłownicza",0,IF(L34="prąd",0,0)))))))</f>
        <v>2.4000000000000002E-3</v>
      </c>
      <c r="Z34" s="639">
        <f>IF(L34="węgiel",R34*'Założenia,wskaźniki, listy'!$C$50,IF(L34="gaz",R34*'Założenia,wskaźniki, listy'!$D$50, IF(L34="drewno",R34*'Założenia,wskaźniki, listy'!$E$50,IF(L34="pelet",R34*'Założenia,wskaźniki, listy'!$F$50,IF(L34="pelet",R34*'Założenia,wskaźniki, listy'!$F$50,IF(L34="olej opałowy",R34*'Założenia,wskaźniki, listy'!$G$50,IF(L34="sieć ciepłownicza",0,IF(L34="prąd",0,0))))))))</f>
        <v>5.3819999999999996E-3</v>
      </c>
      <c r="AA34" s="639">
        <f>IF(N34="węgiel",Q34*'Założenia,wskaźniki, listy'!$C$44,IF(N34="gaz",Q34*'Założenia,wskaźniki, listy'!$D$44,IF(N34="drewno",Q34*'Założenia,wskaźniki, listy'!$E$44,IF(N34="pelet",Q34*'Założenia,wskaźniki, listy'!$G$44,IF(N34="olej opałowy",Q34*'Założenia,wskaźniki, listy'!$G$44,IF(N34="sieć ciepłownicza",0,IF(N34="prąd",0,0)))))))</f>
        <v>0</v>
      </c>
      <c r="AB34" s="639">
        <f>IF(N34="węgiel",Q34*'Założenia,wskaźniki, listy'!$C$45,IF(N34="gaz",Q34*'Założenia,wskaźniki, listy'!$D$45,IF(N34="drewno",Q34*'Założenia,wskaźniki, listy'!$E$45,IF(N34="pelet",Q34*'Założenia,wskaźniki, listy'!$G$45,IF(N34="olej opałowy",Q34*'Założenia,wskaźniki, listy'!$G$45,IF(N34="sieć ciepłownicza",0,IF(N34="prąd",0,0)))))))</f>
        <v>0</v>
      </c>
      <c r="AC34" s="639">
        <f>IF(N34="węgiel",Q34*'Założenia,wskaźniki, listy'!$C$46,IF(N34="gaz",Q34*'Założenia,wskaźniki, listy'!$D$46,IF(N34="drewno",Q34*'Założenia,wskaźniki, listy'!$E$46,IF(N34="pelet",Q34*'Założenia,wskaźniki, listy'!$G$46,IF(N34="olej opałowy",Q34*'Założenia,wskaźniki, listy'!$G$46,IF(N34="sieć ciepłownicza",0,IF(N34="prąd",0,0)))))))</f>
        <v>0</v>
      </c>
      <c r="AD34" s="639">
        <f>IF(N34="węgiel",Q34*'Założenia,wskaźniki, listy'!$C$47,IF(N34="gaz",Q34*'Założenia,wskaźniki, listy'!$D$47,IF(N34="drewno",Q34*'Założenia,wskaźniki, listy'!$E$47,IF(N34="pelet",Q34*'Założenia,wskaźniki, listy'!$G$47,IF(N34="olej opałowy",Q34*'Założenia,wskaźniki, listy'!$G$47,IF(N34="sieć ciepłownicza",0,IF(N34="prąd",0,0)))))))</f>
        <v>0</v>
      </c>
      <c r="AE34" s="639">
        <f>IF(N34="węgiel",Q34*'Założenia,wskaźniki, listy'!$C$48,IF(N34="gaz",Q34*'Założenia,wskaźniki, listy'!$D$48,IF(N34="drewno",Q34*'Założenia,wskaźniki, listy'!$E$48,IF(N34="pelet",Q34*'Założenia,wskaźniki, listy'!$G$48,IF(N34="olej opałowy",Q34*'Założenia,wskaźniki, listy'!$G$48,IF(N34="sieć ciepłownicza",0,IF(N34="prąd",0,0)))))))</f>
        <v>0</v>
      </c>
      <c r="AF34" s="639">
        <f>IF(N34="węgiel",Q34*'Założenia,wskaźniki, listy'!$C$49,IF(N34="gaz",Q34*'Założenia,wskaźniki, listy'!$D$49,IF(N34="drewno",Q34*'Założenia,wskaźniki, listy'!$E$49,IF(N34="pelet",Q34*'Założenia,wskaźniki, listy'!$G$49,IF(N34="olej opałowy",Q34*'Założenia,wskaźniki, listy'!$G$49,IF(N34="sieć ciepłownicza",0,IF(N34="prąd",0,0)))))))</f>
        <v>0</v>
      </c>
      <c r="AG34" s="639">
        <f>IF(N34="węgiel",Q34*'Założenia,wskaźniki, listy'!$C$50,IF(N34="gaz",Q34*'Założenia,wskaźniki, listy'!$D$50,IF(N34="drewno",Q34*'Założenia,wskaźniki, listy'!$E$50,IF(N34="pelet",Q34*'Założenia,wskaźniki, listy'!$G$50,IF(N34="olej opałowy",Q34*'Założenia,wskaźniki, listy'!$G$50,IF(N34="sieć ciepłownicza",0,IF(N34="prąd",0,0)))))))</f>
        <v>0</v>
      </c>
      <c r="AH34" s="640">
        <f>IF(L34="węgiel",(P34+R34)/2*'Założenia,wskaźniki, listy'!$C$4,IF(L34="gaz",(P34+R34)/2*'Założenia,wskaźniki, listy'!$C$5,IF(L34="drewno",(P34+R34)/2*'Założenia,wskaźniki, listy'!$C$6,IF(L34="pelet",(P34+R34)/2*'Założenia,wskaźniki, listy'!$C$7,IF(L34="olej opałowy",(P34+R34)/2*'Założenia,wskaźniki, listy'!$C$8,IF(L34="sieć ciepłownicza",(P34+R34)/2*'Założenia,wskaźniki, listy'!$C$9,IF(L34="sieć ciepłownicza",(P34+R34)/2*'Założenia,wskaźniki, listy'!$C$10,)))))))</f>
        <v>570</v>
      </c>
      <c r="AI34" s="640">
        <f>IF(N34="węgiel",Q34*'Założenia,wskaźniki, listy'!$C$4,IF(N34="gaz",Q34*'Założenia,wskaźniki, listy'!$C$5,IF(N34="drewno",Q34*'Założenia,wskaźniki, listy'!$C$6,IF(N34="pelet",Q34*'Założenia,wskaźniki, listy'!$C$7,IF(N34="olej opałowy",Q34*'Założenia,wskaźniki, listy'!$C$8,IF(N34="sieć ciepłownicza",Q34*'Założenia,wskaźniki, listy'!$C$9,IF(N34="sieć ciepłownicza",Q34*'Założenia,wskaźniki, listy'!$C$10,0)))))))</f>
        <v>0</v>
      </c>
      <c r="AJ34" s="640">
        <f>S34*'Założenia,wskaźniki, listy'!$B$64*1000</f>
        <v>0</v>
      </c>
      <c r="AK34" s="640">
        <f>(H34+I34)*'Założenia,wskaźniki, listy'!$D$64*12</f>
        <v>0</v>
      </c>
      <c r="AL34" s="640">
        <f>AK34*'Założenia,wskaźniki, listy'!$F$64</f>
        <v>0</v>
      </c>
      <c r="AM34" s="639">
        <f t="shared" ref="AM34" si="82">T34+AA34</f>
        <v>1.44E-2</v>
      </c>
      <c r="AN34" s="639">
        <f t="shared" ref="AN34" si="83">U34+AB34</f>
        <v>1.41E-2</v>
      </c>
      <c r="AO34" s="639">
        <f>V34+AC34+S34*'Założenia,wskaźniki, listy'!$J$46</f>
        <v>0</v>
      </c>
      <c r="AP34" s="639">
        <f t="shared" ref="AP34" si="84">W34+AD34</f>
        <v>3.6300000000000004E-6</v>
      </c>
      <c r="AQ34" s="639">
        <f t="shared" ref="AQ34" si="85">X34+AE34</f>
        <v>3.3E-4</v>
      </c>
      <c r="AR34" s="639">
        <f t="shared" ref="AR34" si="86">Y34+AF34</f>
        <v>2.4000000000000002E-3</v>
      </c>
      <c r="AS34" s="639">
        <f t="shared" ref="AS34" si="87">Z34+AG34</f>
        <v>5.3819999999999996E-3</v>
      </c>
      <c r="AT34" s="647"/>
      <c r="AU34" s="647"/>
      <c r="AV34" s="624">
        <f t="shared" si="1"/>
        <v>0</v>
      </c>
      <c r="AW34" s="624" t="b">
        <f t="shared" si="2"/>
        <v>0</v>
      </c>
      <c r="AX34" s="624" t="b">
        <f t="shared" si="3"/>
        <v>0</v>
      </c>
      <c r="AY34" s="624" t="b">
        <f t="shared" si="4"/>
        <v>0</v>
      </c>
      <c r="AZ34" s="624" t="b">
        <f t="shared" si="5"/>
        <v>0</v>
      </c>
      <c r="BA34" s="624" t="b">
        <f t="shared" si="6"/>
        <v>0</v>
      </c>
      <c r="BB34" s="624" t="b">
        <f t="shared" si="7"/>
        <v>0</v>
      </c>
      <c r="BC34" s="624" t="b">
        <f t="shared" si="8"/>
        <v>0</v>
      </c>
      <c r="BD34" s="624" t="b">
        <f t="shared" si="9"/>
        <v>0</v>
      </c>
      <c r="BE34" s="624" t="b">
        <f t="shared" si="10"/>
        <v>0</v>
      </c>
      <c r="BF34" s="624" t="b">
        <f t="shared" si="11"/>
        <v>0</v>
      </c>
      <c r="BG34" s="624" t="b">
        <f t="shared" si="12"/>
        <v>0</v>
      </c>
      <c r="BH34" s="624">
        <f t="shared" si="13"/>
        <v>30</v>
      </c>
      <c r="BI34" s="624" t="b">
        <f t="shared" si="14"/>
        <v>0</v>
      </c>
      <c r="BJ34" s="624" t="b">
        <f t="shared" si="15"/>
        <v>0</v>
      </c>
      <c r="BK34" s="624" t="b">
        <f t="shared" si="16"/>
        <v>0</v>
      </c>
      <c r="BL34" s="624" t="b">
        <f t="shared" si="17"/>
        <v>0</v>
      </c>
      <c r="BM34" s="624" t="b">
        <f t="shared" si="18"/>
        <v>0</v>
      </c>
      <c r="BN34" s="624" t="b">
        <f t="shared" si="19"/>
        <v>0</v>
      </c>
      <c r="BO34" s="624" t="b">
        <f t="shared" si="20"/>
        <v>0</v>
      </c>
      <c r="BP34" s="624" t="b">
        <f t="shared" si="21"/>
        <v>0</v>
      </c>
      <c r="BQ34" s="624" t="b">
        <f t="shared" si="22"/>
        <v>0</v>
      </c>
    </row>
    <row r="35" spans="1:69">
      <c r="A35" s="1086">
        <v>16</v>
      </c>
      <c r="B35" s="883" t="s">
        <v>21</v>
      </c>
      <c r="C35" s="873" t="s">
        <v>621</v>
      </c>
      <c r="D35" s="636" t="s">
        <v>622</v>
      </c>
      <c r="E35" s="645" t="s">
        <v>626</v>
      </c>
      <c r="F35" s="644">
        <v>1962</v>
      </c>
      <c r="G35" s="644">
        <v>50</v>
      </c>
      <c r="H35" s="644"/>
      <c r="I35" s="635"/>
      <c r="J35" s="644">
        <f>IF(F35&lt;=1966,'Założenia,wskaźniki, listy'!$H$4,IF(F35&gt;1966,IF(F35&lt;=1985,'Założenia,wskaźniki, listy'!$H$5,IF(F35&gt;1985,IF(F35&lt;=1992,'Założenia,wskaźniki, listy'!$H$6,IF(F35&gt;1992,IF(F35&lt;=1996,'Założenia,wskaźniki, listy'!$H$7,IF(F35&gt;1996,IF(F35&lt;=2013,'Założenia,wskaźniki, listy'!$H$8)))))))))</f>
        <v>290</v>
      </c>
      <c r="K35" s="864" t="s">
        <v>32</v>
      </c>
      <c r="L35" s="644" t="s">
        <v>8</v>
      </c>
      <c r="M35" s="644">
        <v>0.5</v>
      </c>
      <c r="N35" s="644"/>
      <c r="O35" s="637">
        <f t="shared" si="23"/>
        <v>21.3125</v>
      </c>
      <c r="P35" s="646">
        <f>IF(K35="kompletna",J35*G35*0.0036*'Założenia,wskaźniki, listy'!$P$9,IF(K35="częściowa",J35*G35*0.0036*'Założenia,wskaźniki, listy'!$P$10,IF(K35="brak",J35*G35*0.0036*'Założenia,wskaźniki, listy'!$P$11,0)))</f>
        <v>31.319999999999997</v>
      </c>
      <c r="Q35" s="638">
        <f>H35*'Założenia,wskaźniki, listy'!$L$15</f>
        <v>0</v>
      </c>
      <c r="R35" s="635">
        <f>IF(L35="węgiel",'Mieszkalne - baza'!M35*'Założenia,wskaźniki, listy'!$B$4,IF(L35="gaz",'Mieszkalne - baza'!M35*'Założenia,wskaźniki, listy'!$B$5,IF(L35="drewno",'Mieszkalne - baza'!M35*'Założenia,wskaźniki, listy'!$B$6,IF(L35="pelet",'Mieszkalne - baza'!M35*'Założenia,wskaźniki, listy'!$B$7,IF(L35="olej opałowy",'Mieszkalne - baza'!M35*'Założenia,wskaźniki, listy'!$B$8,IF(L35="sieć ciepłownicza",0,0))))))</f>
        <v>11.305</v>
      </c>
      <c r="S35" s="1084">
        <v>1.6919999999999999</v>
      </c>
      <c r="T35" s="639">
        <f>IF(L35="węgiel",R35*'Założenia,wskaźniki, listy'!$C$44,IF(L35="gaz",R35*'Założenia,wskaźniki, listy'!$D$44,IF(L35="drewno",R35*'Założenia,wskaźniki, listy'!$E$44,IF(L35="pelet",R35*'Założenia,wskaźniki, listy'!$F$44,IF(L35="olej opałowy",R35*'Założenia,wskaźniki, listy'!$G$44,IF(L35="sieć ciepłownicza",0,IF(L35="prąd",0,0)))))))</f>
        <v>2.5436249999999999E-3</v>
      </c>
      <c r="U35" s="639">
        <f>IF(L35="węgiel",R35*'Założenia,wskaźniki, listy'!$C$45,IF(L35="gaz",R35*'Założenia,wskaźniki, listy'!$D$45,IF(L35="drewno",R35*'Założenia,wskaźniki, listy'!$E$45,IF(L35="pelet",R35*'Założenia,wskaźniki, listy'!$F$45,IF(L35="olej opałowy",R35*'Założenia,wskaźniki, listy'!$G$45,IF(L35="sieć ciepłownicza",0,IF(L35="prąd",0,0)))))))</f>
        <v>2.2723050000000001E-3</v>
      </c>
      <c r="V35" s="639">
        <f>IF(L35="węgiel",R35*'Założenia,wskaźniki, listy'!$C$46,IF(L35="gaz",R35*'Założenia,wskaźniki, listy'!$D$46,IF(L35="drewno",R35*'Założenia,wskaźniki, listy'!$E$46,IF(L35="pelet",R35*'Założenia,wskaźniki, listy'!$F$46,IF(L35="olej opałowy",R35*'Założenia,wskaźniki, listy'!$G$46,IF(L35="sieć ciepłownicza",R35*'Założenia,wskaźniki, listy'!$H$46,IF(L35="prąd",R35*'Założenia,wskaźniki, listy'!$I$46,0)))))))</f>
        <v>1.0597306999999998</v>
      </c>
      <c r="W35" s="639">
        <f>IF(L35="węgiel",R35*'Założenia,wskaźniki, listy'!$C$47,IF(L35="gaz",R35*'Założenia,wskaźniki, listy'!$D$47,IF(L35="drewno",R35*'Założenia,wskaźniki, listy'!$E$47,IF(L35="pelet",R35*'Założenia,wskaźniki, listy'!$F$47,IF(L35="olej opałowy",R35*'Założenia,wskaźniki, listy'!$G$47,IF(L35="sieć ciepłownicza",0,IF(L35="prąd",0,0)))))))</f>
        <v>3.0523500000000001E-6</v>
      </c>
      <c r="X35" s="639">
        <f>IF(L35="węgiel",R35*'Założenia,wskaźniki, listy'!$C$48, IF(L35="gaz",R35*'Założenia,wskaźniki, listy'!$D$48,IF(L35="drewno",R35*'Założenia,wskaźniki, listy'!$E$48,IF(L35="pelet",R35*'Założenia,wskaźniki, listy'!$F$48,IF(L35="olej opałowy",R35*'Założenia,wskaźniki, listy'!$G$48,IF(L35="sieć ciepłownicza",0,IF(L35="prąd",0,0)))))))</f>
        <v>1.01745E-2</v>
      </c>
      <c r="Y35" s="639">
        <f>IF(L35="węgiel",R35*'Założenia,wskaźniki, listy'!$C$49, IF(L35="gaz",R35*'Założenia,wskaźniki, listy'!$D$49, IF(L35="drewno",R35*'Założenia,wskaźniki, listy'!$E$49,IF(L35="pelet",R35*'Założenia,wskaźniki, listy'!$F$49,IF(L35="olej opałowy",R35*'Założenia,wskaźniki, listy'!$G$49,IF(L35="sieć ciepłownicza",0,IF(L35="prąd",0,0)))))))</f>
        <v>1.7861899999999998E-3</v>
      </c>
      <c r="Z35" s="639">
        <f>IF(L35="węgiel",R35*'Założenia,wskaźniki, listy'!$C$50,IF(L35="gaz",R35*'Założenia,wskaźniki, listy'!$D$50, IF(L35="drewno",R35*'Założenia,wskaźniki, listy'!$E$50,IF(L35="pelet",R35*'Założenia,wskaźniki, listy'!$F$50,IF(L35="pelet",R35*'Założenia,wskaźniki, listy'!$F$50,IF(L35="olej opałowy",R35*'Założenia,wskaźniki, listy'!$G$50,IF(L35="sieć ciepłownicza",0,IF(L35="prąd",0,0))))))))</f>
        <v>2.2741394725078228E-2</v>
      </c>
      <c r="AA35" s="639">
        <f>IF(N35="węgiel",Q35*'Założenia,wskaźniki, listy'!$C$44,IF(N35="gaz",Q35*'Założenia,wskaźniki, listy'!$D$44,IF(N35="drewno",Q35*'Założenia,wskaźniki, listy'!$E$44,IF(N35="pelet",Q35*'Założenia,wskaźniki, listy'!$G$44,IF(N35="olej opałowy",Q35*'Założenia,wskaźniki, listy'!$G$44,IF(N35="sieć ciepłownicza",0,IF(N35="prąd",0,0)))))))</f>
        <v>0</v>
      </c>
      <c r="AB35" s="639">
        <f>IF(N35="węgiel",Q35*'Założenia,wskaźniki, listy'!$C$45,IF(N35="gaz",Q35*'Założenia,wskaźniki, listy'!$D$45,IF(N35="drewno",Q35*'Założenia,wskaźniki, listy'!$E$45,IF(N35="pelet",Q35*'Założenia,wskaźniki, listy'!$G$45,IF(N35="olej opałowy",Q35*'Założenia,wskaźniki, listy'!$G$45,IF(N35="sieć ciepłownicza",0,IF(N35="prąd",0,0)))))))</f>
        <v>0</v>
      </c>
      <c r="AC35" s="639">
        <f>IF(N35="węgiel",Q35*'Założenia,wskaźniki, listy'!$C$46,IF(N35="gaz",Q35*'Założenia,wskaźniki, listy'!$D$46,IF(N35="drewno",Q35*'Założenia,wskaźniki, listy'!$E$46,IF(N35="pelet",Q35*'Założenia,wskaźniki, listy'!$G$46,IF(N35="olej opałowy",Q35*'Założenia,wskaźniki, listy'!$G$46,IF(N35="sieć ciepłownicza",0,IF(N35="prąd",0,0)))))))</f>
        <v>0</v>
      </c>
      <c r="AD35" s="639">
        <f>IF(N35="węgiel",Q35*'Założenia,wskaźniki, listy'!$C$47,IF(N35="gaz",Q35*'Założenia,wskaźniki, listy'!$D$47,IF(N35="drewno",Q35*'Założenia,wskaźniki, listy'!$E$47,IF(N35="pelet",Q35*'Założenia,wskaźniki, listy'!$G$47,IF(N35="olej opałowy",Q35*'Założenia,wskaźniki, listy'!$G$47,IF(N35="sieć ciepłownicza",0,IF(N35="prąd",0,0)))))))</f>
        <v>0</v>
      </c>
      <c r="AE35" s="639">
        <f>IF(N35="węgiel",Q35*'Założenia,wskaźniki, listy'!$C$48,IF(N35="gaz",Q35*'Założenia,wskaźniki, listy'!$D$48,IF(N35="drewno",Q35*'Założenia,wskaźniki, listy'!$E$48,IF(N35="pelet",Q35*'Założenia,wskaźniki, listy'!$G$48,IF(N35="olej opałowy",Q35*'Założenia,wskaźniki, listy'!$G$48,IF(N35="sieć ciepłownicza",0,IF(N35="prąd",0,0)))))))</f>
        <v>0</v>
      </c>
      <c r="AF35" s="639">
        <f>IF(N35="węgiel",Q35*'Założenia,wskaźniki, listy'!$C$49,IF(N35="gaz",Q35*'Założenia,wskaźniki, listy'!$D$49,IF(N35="drewno",Q35*'Założenia,wskaźniki, listy'!$E$49,IF(N35="pelet",Q35*'Założenia,wskaźniki, listy'!$G$49,IF(N35="olej opałowy",Q35*'Założenia,wskaźniki, listy'!$G$49,IF(N35="sieć ciepłownicza",0,IF(N35="prąd",0,0)))))))</f>
        <v>0</v>
      </c>
      <c r="AG35" s="639">
        <f>IF(N35="węgiel",Q35*'Założenia,wskaźniki, listy'!$C$50,IF(N35="gaz",Q35*'Założenia,wskaźniki, listy'!$D$50,IF(N35="drewno",Q35*'Założenia,wskaźniki, listy'!$E$50,IF(N35="pelet",Q35*'Założenia,wskaźniki, listy'!$G$50,IF(N35="olej opałowy",Q35*'Założenia,wskaźniki, listy'!$G$50,IF(N35="sieć ciepłownicza",0,IF(N35="prąd",0,0)))))))</f>
        <v>0</v>
      </c>
      <c r="AH35" s="640">
        <f>IF(L35="węgiel",(P35+R35)/2*'Założenia,wskaźniki, listy'!$C$4,IF(L35="gaz",(P35+R35)/2*'Założenia,wskaźniki, listy'!$C$5,IF(L35="drewno",(P35+R35)/2*'Założenia,wskaźniki, listy'!$C$6,IF(L35="pelet",(P35+R35)/2*'Założenia,wskaźniki, listy'!$C$7,IF(L35="olej opałowy",(P35+R35)/2*'Założenia,wskaźniki, listy'!$C$8,IF(L35="sieć ciepłownicza",(P35+R35)/2*'Założenia,wskaźniki, listy'!$C$9,IF(L35="sieć ciepłownicza",(P35+R35)/2*'Założenia,wskaźniki, listy'!$C$10,)))))))</f>
        <v>873.8125</v>
      </c>
      <c r="AI35" s="640">
        <f>IF(N35="węgiel",Q35*'Założenia,wskaźniki, listy'!$C$4,IF(N35="gaz",Q35*'Założenia,wskaźniki, listy'!$C$5,IF(N35="drewno",Q35*'Założenia,wskaźniki, listy'!$C$6,IF(N35="pelet",Q35*'Założenia,wskaźniki, listy'!$C$7,IF(N35="olej opałowy",Q35*'Założenia,wskaźniki, listy'!$C$8,IF(N35="sieć ciepłownicza",Q35*'Założenia,wskaźniki, listy'!$C$9,IF(N35="sieć ciepłownicza",Q35*'Założenia,wskaźniki, listy'!$C$10,0)))))))</f>
        <v>0</v>
      </c>
      <c r="AJ35" s="640">
        <f>S35*'Założenia,wskaźniki, listy'!$B$64*1000</f>
        <v>1201.32</v>
      </c>
      <c r="AK35" s="640">
        <f>(H35+I35)*'Założenia,wskaźniki, listy'!$D$64*12</f>
        <v>0</v>
      </c>
      <c r="AL35" s="640">
        <f>AK35*'Założenia,wskaźniki, listy'!$F$64</f>
        <v>0</v>
      </c>
      <c r="AM35" s="639">
        <f t="shared" si="24"/>
        <v>2.5436249999999999E-3</v>
      </c>
      <c r="AN35" s="639">
        <f t="shared" si="25"/>
        <v>2.2723050000000001E-3</v>
      </c>
      <c r="AO35" s="639">
        <f>V35+AC35+S35*'Założenia,wskaźniki, listy'!$J$46</f>
        <v>2.4666286999999998</v>
      </c>
      <c r="AP35" s="639">
        <f t="shared" si="26"/>
        <v>3.0523500000000001E-6</v>
      </c>
      <c r="AQ35" s="639">
        <f t="shared" si="27"/>
        <v>1.01745E-2</v>
      </c>
      <c r="AR35" s="639">
        <f t="shared" si="28"/>
        <v>1.7861899999999998E-3</v>
      </c>
      <c r="AS35" s="639">
        <f t="shared" si="29"/>
        <v>2.2741394725078228E-2</v>
      </c>
      <c r="AT35" s="647"/>
      <c r="AU35" s="647"/>
      <c r="AV35" s="624">
        <f t="shared" si="1"/>
        <v>50</v>
      </c>
      <c r="AW35" s="624">
        <f t="shared" si="2"/>
        <v>50</v>
      </c>
      <c r="AX35" s="624" t="b">
        <f t="shared" si="3"/>
        <v>0</v>
      </c>
      <c r="AY35" s="624" t="b">
        <f t="shared" si="4"/>
        <v>0</v>
      </c>
      <c r="AZ35" s="624" t="b">
        <f t="shared" si="5"/>
        <v>0</v>
      </c>
      <c r="BA35" s="624" t="b">
        <f t="shared" si="6"/>
        <v>0</v>
      </c>
      <c r="BB35" s="624" t="b">
        <f t="shared" si="7"/>
        <v>0</v>
      </c>
      <c r="BC35" s="624" t="b">
        <f t="shared" si="8"/>
        <v>0</v>
      </c>
      <c r="BD35" s="624" t="b">
        <f t="shared" si="9"/>
        <v>0</v>
      </c>
      <c r="BE35" s="624" t="b">
        <f t="shared" si="10"/>
        <v>0</v>
      </c>
      <c r="BF35" s="624">
        <f t="shared" si="11"/>
        <v>11.305</v>
      </c>
      <c r="BG35" s="624" t="b">
        <f t="shared" si="12"/>
        <v>0</v>
      </c>
      <c r="BH35" s="624" t="b">
        <f t="shared" si="13"/>
        <v>0</v>
      </c>
      <c r="BI35" s="624" t="b">
        <f t="shared" si="14"/>
        <v>0</v>
      </c>
      <c r="BJ35" s="624" t="b">
        <f t="shared" si="15"/>
        <v>0</v>
      </c>
      <c r="BK35" s="624" t="b">
        <f t="shared" si="16"/>
        <v>0</v>
      </c>
      <c r="BL35" s="624" t="b">
        <f t="shared" si="17"/>
        <v>0</v>
      </c>
      <c r="BM35" s="624" t="b">
        <f t="shared" si="18"/>
        <v>0</v>
      </c>
      <c r="BN35" s="624" t="b">
        <f t="shared" si="19"/>
        <v>0</v>
      </c>
      <c r="BO35" s="624" t="b">
        <f t="shared" si="20"/>
        <v>0</v>
      </c>
      <c r="BP35" s="624" t="b">
        <f t="shared" si="21"/>
        <v>0</v>
      </c>
      <c r="BQ35" s="624" t="b">
        <f t="shared" si="22"/>
        <v>0</v>
      </c>
    </row>
    <row r="36" spans="1:69">
      <c r="A36" s="1086"/>
      <c r="B36" s="872"/>
      <c r="C36" s="872"/>
      <c r="D36" s="645"/>
      <c r="E36" s="645"/>
      <c r="F36" s="644"/>
      <c r="G36" s="644"/>
      <c r="H36" s="644"/>
      <c r="I36" s="635"/>
      <c r="J36" s="644">
        <f>IF(F36&lt;=1966,'Założenia,wskaźniki, listy'!$H$4,IF(F36&gt;1966,IF(F36&lt;=1985,'Założenia,wskaźniki, listy'!$H$5,IF(F36&gt;1985,IF(F36&lt;=1992,'Założenia,wskaźniki, listy'!$H$6,IF(F36&gt;1992,IF(F36&lt;=1996,'Założenia,wskaźniki, listy'!$H$7,IF(F36&gt;1996,IF(F36&lt;=2013,'Założenia,wskaźniki, listy'!$H$8)))))))))</f>
        <v>290</v>
      </c>
      <c r="K36" s="644"/>
      <c r="L36" s="644" t="s">
        <v>79</v>
      </c>
      <c r="M36" s="644">
        <v>1</v>
      </c>
      <c r="N36" s="644"/>
      <c r="O36" s="637">
        <f t="shared" ref="O36" si="88">IF(P36&gt;0,(Q36+R36+P36)/2,Q36+R36)</f>
        <v>15</v>
      </c>
      <c r="P36" s="646">
        <f>IF(K36="kompletna",J36*G36*0.0036*'Założenia,wskaźniki, listy'!$P$9,IF(K36="częściowa",J36*G36*0.0036*'Założenia,wskaźniki, listy'!$P$10,IF(K36="brak",J36*G36*0.0036*'Założenia,wskaźniki, listy'!$P$11,0)))</f>
        <v>0</v>
      </c>
      <c r="Q36" s="638">
        <f>H36*'Założenia,wskaźniki, listy'!$L$15</f>
        <v>0</v>
      </c>
      <c r="R36" s="635">
        <f>IF(L36="węgiel",'Mieszkalne - baza'!M36*'Założenia,wskaźniki, listy'!$B$4,IF(L36="gaz",'Mieszkalne - baza'!M36*'Założenia,wskaźniki, listy'!$B$5,IF(L36="drewno",'Mieszkalne - baza'!M36*'Założenia,wskaźniki, listy'!$B$6,IF(L36="pelet",'Mieszkalne - baza'!M36*'Założenia,wskaźniki, listy'!$B$7,IF(L36="olej opałowy",'Mieszkalne - baza'!M36*'Założenia,wskaźniki, listy'!$B$8,IF(L36="sieć ciepłownicza",0,0))))))</f>
        <v>15</v>
      </c>
      <c r="S36" s="1085"/>
      <c r="T36" s="639">
        <f>IF(L36="węgiel",R36*'Założenia,wskaźniki, listy'!$C$44,IF(L36="gaz",R36*'Założenia,wskaźniki, listy'!$D$44,IF(L36="drewno",R36*'Założenia,wskaźniki, listy'!$E$44,IF(L36="pelet",R36*'Założenia,wskaźniki, listy'!$F$44,IF(L36="olej opałowy",R36*'Założenia,wskaźniki, listy'!$G$44,IF(L36="sieć ciepłownicza",0,IF(L36="prąd",0,0)))))))</f>
        <v>7.1999999999999998E-3</v>
      </c>
      <c r="U36" s="639">
        <f>IF(L36="węgiel",R36*'Założenia,wskaźniki, listy'!$C$45,IF(L36="gaz",R36*'Założenia,wskaźniki, listy'!$D$45,IF(L36="drewno",R36*'Założenia,wskaźniki, listy'!$E$45,IF(L36="pelet",R36*'Założenia,wskaźniki, listy'!$F$45,IF(L36="olej opałowy",R36*'Założenia,wskaźniki, listy'!$G$45,IF(L36="sieć ciepłownicza",0,IF(L36="prąd",0,0)))))))</f>
        <v>7.0499999999999998E-3</v>
      </c>
      <c r="V36" s="639">
        <f>IF(L36="węgiel",R36*'Założenia,wskaźniki, listy'!$C$46,IF(L36="gaz",R36*'Założenia,wskaźniki, listy'!$D$46,IF(L36="drewno",R36*'Założenia,wskaźniki, listy'!$E$46,IF(L36="pelet",R36*'Założenia,wskaźniki, listy'!$F$46,IF(L36="olej opałowy",R36*'Założenia,wskaźniki, listy'!$G$46,IF(L36="sieć ciepłownicza",R36*'Założenia,wskaźniki, listy'!$H$46,IF(L36="prąd",R36*'Założenia,wskaźniki, listy'!$I$46,0)))))))</f>
        <v>0</v>
      </c>
      <c r="W36" s="639">
        <f>IF(L36="węgiel",R36*'Założenia,wskaźniki, listy'!$C$47,IF(L36="gaz",R36*'Założenia,wskaźniki, listy'!$D$47,IF(L36="drewno",R36*'Założenia,wskaźniki, listy'!$E$47,IF(L36="pelet",R36*'Założenia,wskaźniki, listy'!$F$47,IF(L36="olej opałowy",R36*'Założenia,wskaźniki, listy'!$G$47,IF(L36="sieć ciepłownicza",0,IF(L36="prąd",0,0)))))))</f>
        <v>1.8150000000000002E-6</v>
      </c>
      <c r="X36" s="639">
        <f>IF(L36="węgiel",R36*'Założenia,wskaźniki, listy'!$C$48, IF(L36="gaz",R36*'Założenia,wskaźniki, listy'!$D$48,IF(L36="drewno",R36*'Założenia,wskaźniki, listy'!$E$48,IF(L36="pelet",R36*'Założenia,wskaźniki, listy'!$F$48,IF(L36="olej opałowy",R36*'Założenia,wskaźniki, listy'!$G$48,IF(L36="sieć ciepłownicza",0,IF(L36="prąd",0,0)))))))</f>
        <v>1.65E-4</v>
      </c>
      <c r="Y36" s="639">
        <f>IF(L36="węgiel",R36*'Założenia,wskaźniki, listy'!$C$49, IF(L36="gaz",R36*'Założenia,wskaźniki, listy'!$D$49, IF(L36="drewno",R36*'Założenia,wskaźniki, listy'!$E$49,IF(L36="pelet",R36*'Założenia,wskaźniki, listy'!$F$49,IF(L36="olej opałowy",R36*'Założenia,wskaźniki, listy'!$G$49,IF(L36="sieć ciepłownicza",0,IF(L36="prąd",0,0)))))))</f>
        <v>1.2000000000000001E-3</v>
      </c>
      <c r="Z36" s="639">
        <f>IF(L36="węgiel",R36*'Założenia,wskaźniki, listy'!$C$50,IF(L36="gaz",R36*'Założenia,wskaźniki, listy'!$D$50, IF(L36="drewno",R36*'Założenia,wskaźniki, listy'!$E$50,IF(L36="pelet",R36*'Założenia,wskaźniki, listy'!$F$50,IF(L36="pelet",R36*'Założenia,wskaźniki, listy'!$F$50,IF(L36="olej opałowy",R36*'Założenia,wskaźniki, listy'!$G$50,IF(L36="sieć ciepłownicza",0,IF(L36="prąd",0,0))))))))</f>
        <v>2.6909999999999998E-3</v>
      </c>
      <c r="AA36" s="639">
        <f>IF(N36="węgiel",Q36*'Założenia,wskaźniki, listy'!$C$44,IF(N36="gaz",Q36*'Założenia,wskaźniki, listy'!$D$44,IF(N36="drewno",Q36*'Założenia,wskaźniki, listy'!$E$44,IF(N36="pelet",Q36*'Założenia,wskaźniki, listy'!$G$44,IF(N36="olej opałowy",Q36*'Założenia,wskaźniki, listy'!$G$44,IF(N36="sieć ciepłownicza",0,IF(N36="prąd",0,0)))))))</f>
        <v>0</v>
      </c>
      <c r="AB36" s="639">
        <f>IF(N36="węgiel",Q36*'Założenia,wskaźniki, listy'!$C$45,IF(N36="gaz",Q36*'Założenia,wskaźniki, listy'!$D$45,IF(N36="drewno",Q36*'Założenia,wskaźniki, listy'!$E$45,IF(N36="pelet",Q36*'Założenia,wskaźniki, listy'!$G$45,IF(N36="olej opałowy",Q36*'Założenia,wskaźniki, listy'!$G$45,IF(N36="sieć ciepłownicza",0,IF(N36="prąd",0,0)))))))</f>
        <v>0</v>
      </c>
      <c r="AC36" s="639">
        <f>IF(N36="węgiel",Q36*'Założenia,wskaźniki, listy'!$C$46,IF(N36="gaz",Q36*'Założenia,wskaźniki, listy'!$D$46,IF(N36="drewno",Q36*'Założenia,wskaźniki, listy'!$E$46,IF(N36="pelet",Q36*'Założenia,wskaźniki, listy'!$G$46,IF(N36="olej opałowy",Q36*'Założenia,wskaźniki, listy'!$G$46,IF(N36="sieć ciepłownicza",0,IF(N36="prąd",0,0)))))))</f>
        <v>0</v>
      </c>
      <c r="AD36" s="639">
        <f>IF(N36="węgiel",Q36*'Założenia,wskaźniki, listy'!$C$47,IF(N36="gaz",Q36*'Założenia,wskaźniki, listy'!$D$47,IF(N36="drewno",Q36*'Założenia,wskaźniki, listy'!$E$47,IF(N36="pelet",Q36*'Założenia,wskaźniki, listy'!$G$47,IF(N36="olej opałowy",Q36*'Założenia,wskaźniki, listy'!$G$47,IF(N36="sieć ciepłownicza",0,IF(N36="prąd",0,0)))))))</f>
        <v>0</v>
      </c>
      <c r="AE36" s="639">
        <f>IF(N36="węgiel",Q36*'Założenia,wskaźniki, listy'!$C$48,IF(N36="gaz",Q36*'Założenia,wskaźniki, listy'!$D$48,IF(N36="drewno",Q36*'Założenia,wskaźniki, listy'!$E$48,IF(N36="pelet",Q36*'Założenia,wskaźniki, listy'!$G$48,IF(N36="olej opałowy",Q36*'Założenia,wskaźniki, listy'!$G$48,IF(N36="sieć ciepłownicza",0,IF(N36="prąd",0,0)))))))</f>
        <v>0</v>
      </c>
      <c r="AF36" s="639">
        <f>IF(N36="węgiel",Q36*'Założenia,wskaźniki, listy'!$C$49,IF(N36="gaz",Q36*'Założenia,wskaźniki, listy'!$D$49,IF(N36="drewno",Q36*'Założenia,wskaźniki, listy'!$E$49,IF(N36="pelet",Q36*'Założenia,wskaźniki, listy'!$G$49,IF(N36="olej opałowy",Q36*'Założenia,wskaźniki, listy'!$G$49,IF(N36="sieć ciepłownicza",0,IF(N36="prąd",0,0)))))))</f>
        <v>0</v>
      </c>
      <c r="AG36" s="639">
        <f>IF(N36="węgiel",Q36*'Założenia,wskaźniki, listy'!$C$50,IF(N36="gaz",Q36*'Założenia,wskaźniki, listy'!$D$50,IF(N36="drewno",Q36*'Założenia,wskaźniki, listy'!$E$50,IF(N36="pelet",Q36*'Założenia,wskaźniki, listy'!$G$50,IF(N36="olej opałowy",Q36*'Założenia,wskaźniki, listy'!$G$50,IF(N36="sieć ciepłownicza",0,IF(N36="prąd",0,0)))))))</f>
        <v>0</v>
      </c>
      <c r="AH36" s="640">
        <f>IF(L36="węgiel",(P36+R36)/2*'Założenia,wskaźniki, listy'!$C$4,IF(L36="gaz",(P36+R36)/2*'Założenia,wskaźniki, listy'!$C$5,IF(L36="drewno",(P36+R36)/2*'Założenia,wskaźniki, listy'!$C$6,IF(L36="pelet",(P36+R36)/2*'Założenia,wskaźniki, listy'!$C$7,IF(L36="olej opałowy",(P36+R36)/2*'Założenia,wskaźniki, listy'!$C$8,IF(L36="sieć ciepłownicza",(P36+R36)/2*'Założenia,wskaźniki, listy'!$C$9,IF(L36="sieć ciepłownicza",(P36+R36)/2*'Założenia,wskaźniki, listy'!$C$10,)))))))</f>
        <v>285</v>
      </c>
      <c r="AI36" s="640">
        <f>IF(N36="węgiel",Q36*'Założenia,wskaźniki, listy'!$C$4,IF(N36="gaz",Q36*'Założenia,wskaźniki, listy'!$C$5,IF(N36="drewno",Q36*'Założenia,wskaźniki, listy'!$C$6,IF(N36="pelet",Q36*'Założenia,wskaźniki, listy'!$C$7,IF(N36="olej opałowy",Q36*'Założenia,wskaźniki, listy'!$C$8,IF(N36="sieć ciepłownicza",Q36*'Założenia,wskaźniki, listy'!$C$9,IF(N36="sieć ciepłownicza",Q36*'Założenia,wskaźniki, listy'!$C$10,0)))))))</f>
        <v>0</v>
      </c>
      <c r="AJ36" s="640">
        <f>S36*'Założenia,wskaźniki, listy'!$B$64*1000</f>
        <v>0</v>
      </c>
      <c r="AK36" s="640">
        <f>(H36+I36)*'Założenia,wskaźniki, listy'!$D$64*12</f>
        <v>0</v>
      </c>
      <c r="AL36" s="640">
        <f>AK36*'Założenia,wskaźniki, listy'!$F$64</f>
        <v>0</v>
      </c>
      <c r="AM36" s="639">
        <f t="shared" ref="AM36" si="89">T36+AA36</f>
        <v>7.1999999999999998E-3</v>
      </c>
      <c r="AN36" s="639">
        <f t="shared" ref="AN36" si="90">U36+AB36</f>
        <v>7.0499999999999998E-3</v>
      </c>
      <c r="AO36" s="639">
        <f>V36+AC36+S36*'Założenia,wskaźniki, listy'!$J$46</f>
        <v>0</v>
      </c>
      <c r="AP36" s="639">
        <f t="shared" ref="AP36" si="91">W36+AD36</f>
        <v>1.8150000000000002E-6</v>
      </c>
      <c r="AQ36" s="639">
        <f t="shared" ref="AQ36" si="92">X36+AE36</f>
        <v>1.65E-4</v>
      </c>
      <c r="AR36" s="639">
        <f t="shared" ref="AR36" si="93">Y36+AF36</f>
        <v>1.2000000000000001E-3</v>
      </c>
      <c r="AS36" s="639">
        <f t="shared" ref="AS36" si="94">Z36+AG36</f>
        <v>2.6909999999999998E-3</v>
      </c>
      <c r="AT36" s="647"/>
      <c r="AU36" s="647"/>
      <c r="AV36" s="624">
        <f t="shared" si="1"/>
        <v>0</v>
      </c>
      <c r="AW36" s="624" t="b">
        <f t="shared" si="2"/>
        <v>0</v>
      </c>
      <c r="AX36" s="624" t="b">
        <f t="shared" si="3"/>
        <v>0</v>
      </c>
      <c r="AY36" s="624" t="b">
        <f t="shared" si="4"/>
        <v>0</v>
      </c>
      <c r="AZ36" s="624" t="b">
        <f t="shared" si="5"/>
        <v>0</v>
      </c>
      <c r="BA36" s="624" t="b">
        <f t="shared" si="6"/>
        <v>0</v>
      </c>
      <c r="BB36" s="624" t="b">
        <f t="shared" si="7"/>
        <v>0</v>
      </c>
      <c r="BC36" s="624" t="b">
        <f t="shared" si="8"/>
        <v>0</v>
      </c>
      <c r="BD36" s="624" t="b">
        <f t="shared" si="9"/>
        <v>0</v>
      </c>
      <c r="BE36" s="624" t="b">
        <f t="shared" si="10"/>
        <v>0</v>
      </c>
      <c r="BF36" s="624" t="b">
        <f t="shared" si="11"/>
        <v>0</v>
      </c>
      <c r="BG36" s="624" t="b">
        <f t="shared" si="12"/>
        <v>0</v>
      </c>
      <c r="BH36" s="624">
        <f t="shared" si="13"/>
        <v>15</v>
      </c>
      <c r="BI36" s="624" t="b">
        <f t="shared" si="14"/>
        <v>0</v>
      </c>
      <c r="BJ36" s="624" t="b">
        <f t="shared" si="15"/>
        <v>0</v>
      </c>
      <c r="BK36" s="624" t="b">
        <f t="shared" si="16"/>
        <v>0</v>
      </c>
      <c r="BL36" s="624" t="b">
        <f t="shared" si="17"/>
        <v>0</v>
      </c>
      <c r="BM36" s="624" t="b">
        <f t="shared" si="18"/>
        <v>0</v>
      </c>
      <c r="BN36" s="624" t="b">
        <f t="shared" si="19"/>
        <v>0</v>
      </c>
      <c r="BO36" s="624" t="b">
        <f t="shared" si="20"/>
        <v>0</v>
      </c>
      <c r="BP36" s="624" t="b">
        <f t="shared" si="21"/>
        <v>0</v>
      </c>
      <c r="BQ36" s="624" t="b">
        <f t="shared" si="22"/>
        <v>0</v>
      </c>
    </row>
    <row r="37" spans="1:69">
      <c r="A37" s="1086">
        <v>17</v>
      </c>
      <c r="B37" s="872" t="s">
        <v>21</v>
      </c>
      <c r="C37" s="873" t="s">
        <v>621</v>
      </c>
      <c r="D37" s="636" t="s">
        <v>622</v>
      </c>
      <c r="E37" s="645">
        <v>12</v>
      </c>
      <c r="F37" s="635">
        <v>1965</v>
      </c>
      <c r="G37" s="635">
        <v>140</v>
      </c>
      <c r="H37" s="644"/>
      <c r="I37" s="635"/>
      <c r="J37" s="644">
        <f>IF(F37&lt;=1966,'Założenia,wskaźniki, listy'!$H$4,IF(F37&gt;1966,IF(F37&lt;=1985,'Założenia,wskaźniki, listy'!$H$5,IF(F37&gt;1985,IF(F37&lt;=1992,'Założenia,wskaźniki, listy'!$H$6,IF(F37&gt;1992,IF(F37&lt;=1996,'Założenia,wskaźniki, listy'!$H$7,IF(F37&gt;1996,IF(F37&lt;=2013,'Założenia,wskaźniki, listy'!$H$8)))))))))</f>
        <v>290</v>
      </c>
      <c r="K37" s="864" t="s">
        <v>32</v>
      </c>
      <c r="L37" s="644" t="s">
        <v>8</v>
      </c>
      <c r="M37" s="635">
        <v>2</v>
      </c>
      <c r="N37" s="644"/>
      <c r="O37" s="637">
        <f t="shared" si="23"/>
        <v>66.457999999999998</v>
      </c>
      <c r="P37" s="646">
        <f>IF(K37="kompletna",J37*G37*0.0036*'Założenia,wskaźniki, listy'!$P$9,IF(K37="częściowa",J37*G37*0.0036*'Założenia,wskaźniki, listy'!$P$10,IF(K37="brak",J37*G37*0.0036*'Założenia,wskaźniki, listy'!$P$11,0)))</f>
        <v>87.695999999999998</v>
      </c>
      <c r="Q37" s="638">
        <f>H37*'Założenia,wskaźniki, listy'!$L$15</f>
        <v>0</v>
      </c>
      <c r="R37" s="635">
        <f>IF(L37="węgiel",'Mieszkalne - baza'!M37*'Założenia,wskaźniki, listy'!$B$4,IF(L37="gaz",'Mieszkalne - baza'!M37*'Założenia,wskaźniki, listy'!$B$5,IF(L37="drewno",'Mieszkalne - baza'!M37*'Założenia,wskaźniki, listy'!$B$6,IF(L37="pelet",'Mieszkalne - baza'!M37*'Założenia,wskaźniki, listy'!$B$7,IF(L37="olej opałowy",'Mieszkalne - baza'!M37*'Założenia,wskaźniki, listy'!$B$8,IF(L37="sieć ciepłownicza",0,0))))))</f>
        <v>45.22</v>
      </c>
      <c r="S37" s="1084">
        <v>2.0304000000000002</v>
      </c>
      <c r="T37" s="639">
        <f>IF(L37="węgiel",R37*'Założenia,wskaźniki, listy'!$C$44,IF(L37="gaz",R37*'Założenia,wskaźniki, listy'!$D$44,IF(L37="drewno",R37*'Założenia,wskaźniki, listy'!$E$44,IF(L37="pelet",R37*'Założenia,wskaźniki, listy'!$F$44,IF(L37="olej opałowy",R37*'Założenia,wskaźniki, listy'!$G$44,IF(L37="sieć ciepłownicza",0,IF(L37="prąd",0,0)))))))</f>
        <v>1.01745E-2</v>
      </c>
      <c r="U37" s="639">
        <f>IF(L37="węgiel",R37*'Założenia,wskaźniki, listy'!$C$45,IF(L37="gaz",R37*'Założenia,wskaźniki, listy'!$D$45,IF(L37="drewno",R37*'Założenia,wskaźniki, listy'!$E$45,IF(L37="pelet",R37*'Założenia,wskaźniki, listy'!$F$45,IF(L37="olej opałowy",R37*'Założenia,wskaźniki, listy'!$G$45,IF(L37="sieć ciepłownicza",0,IF(L37="prąd",0,0)))))))</f>
        <v>9.0892200000000003E-3</v>
      </c>
      <c r="V37" s="639">
        <f>IF(L37="węgiel",R37*'Założenia,wskaźniki, listy'!$C$46,IF(L37="gaz",R37*'Założenia,wskaźniki, listy'!$D$46,IF(L37="drewno",R37*'Założenia,wskaźniki, listy'!$E$46,IF(L37="pelet",R37*'Założenia,wskaźniki, listy'!$F$46,IF(L37="olej opałowy",R37*'Założenia,wskaźniki, listy'!$G$46,IF(L37="sieć ciepłownicza",R37*'Założenia,wskaźniki, listy'!$H$46,IF(L37="prąd",R37*'Założenia,wskaźniki, listy'!$I$46,0)))))))</f>
        <v>4.2389227999999992</v>
      </c>
      <c r="W37" s="639">
        <f>IF(L37="węgiel",R37*'Założenia,wskaźniki, listy'!$C$47,IF(L37="gaz",R37*'Założenia,wskaźniki, listy'!$D$47,IF(L37="drewno",R37*'Założenia,wskaźniki, listy'!$E$47,IF(L37="pelet",R37*'Założenia,wskaźniki, listy'!$F$47,IF(L37="olej opałowy",R37*'Założenia,wskaźniki, listy'!$G$47,IF(L37="sieć ciepłownicza",0,IF(L37="prąd",0,0)))))))</f>
        <v>1.22094E-5</v>
      </c>
      <c r="X37" s="639">
        <f>IF(L37="węgiel",R37*'Założenia,wskaźniki, listy'!$C$48, IF(L37="gaz",R37*'Założenia,wskaźniki, listy'!$D$48,IF(L37="drewno",R37*'Założenia,wskaźniki, listy'!$E$48,IF(L37="pelet",R37*'Założenia,wskaźniki, listy'!$F$48,IF(L37="olej opałowy",R37*'Założenia,wskaźniki, listy'!$G$48,IF(L37="sieć ciepłownicza",0,IF(L37="prąd",0,0)))))))</f>
        <v>4.0697999999999998E-2</v>
      </c>
      <c r="Y37" s="639">
        <f>IF(L37="węgiel",R37*'Założenia,wskaźniki, listy'!$C$49, IF(L37="gaz",R37*'Założenia,wskaźniki, listy'!$D$49, IF(L37="drewno",R37*'Założenia,wskaźniki, listy'!$E$49,IF(L37="pelet",R37*'Założenia,wskaźniki, listy'!$F$49,IF(L37="olej opałowy",R37*'Założenia,wskaźniki, listy'!$G$49,IF(L37="sieć ciepłownicza",0,IF(L37="prąd",0,0)))))))</f>
        <v>7.1447599999999991E-3</v>
      </c>
      <c r="Z37" s="639">
        <f>IF(L37="węgiel",R37*'Założenia,wskaźniki, listy'!$C$50,IF(L37="gaz",R37*'Założenia,wskaźniki, listy'!$D$50, IF(L37="drewno",R37*'Założenia,wskaźniki, listy'!$E$50,IF(L37="pelet",R37*'Założenia,wskaźniki, listy'!$F$50,IF(L37="pelet",R37*'Założenia,wskaźniki, listy'!$F$50,IF(L37="olej opałowy",R37*'Założenia,wskaźniki, listy'!$G$50,IF(L37="sieć ciepłownicza",0,IF(L37="prąd",0,0))))))))</f>
        <v>9.0965578900312913E-2</v>
      </c>
      <c r="AA37" s="639">
        <f>IF(N37="węgiel",Q37*'Założenia,wskaźniki, listy'!$C$44,IF(N37="gaz",Q37*'Założenia,wskaźniki, listy'!$D$44,IF(N37="drewno",Q37*'Założenia,wskaźniki, listy'!$E$44,IF(N37="pelet",Q37*'Założenia,wskaźniki, listy'!$G$44,IF(N37="olej opałowy",Q37*'Założenia,wskaźniki, listy'!$G$44,IF(N37="sieć ciepłownicza",0,IF(N37="prąd",0,0)))))))</f>
        <v>0</v>
      </c>
      <c r="AB37" s="639">
        <f>IF(N37="węgiel",Q37*'Założenia,wskaźniki, listy'!$C$45,IF(N37="gaz",Q37*'Założenia,wskaźniki, listy'!$D$45,IF(N37="drewno",Q37*'Założenia,wskaźniki, listy'!$E$45,IF(N37="pelet",Q37*'Założenia,wskaźniki, listy'!$G$45,IF(N37="olej opałowy",Q37*'Założenia,wskaźniki, listy'!$G$45,IF(N37="sieć ciepłownicza",0,IF(N37="prąd",0,0)))))))</f>
        <v>0</v>
      </c>
      <c r="AC37" s="639">
        <f>IF(N37="węgiel",Q37*'Założenia,wskaźniki, listy'!$C$46,IF(N37="gaz",Q37*'Założenia,wskaźniki, listy'!$D$46,IF(N37="drewno",Q37*'Założenia,wskaźniki, listy'!$E$46,IF(N37="pelet",Q37*'Założenia,wskaźniki, listy'!$G$46,IF(N37="olej opałowy",Q37*'Założenia,wskaźniki, listy'!$G$46,IF(N37="sieć ciepłownicza",0,IF(N37="prąd",0,0)))))))</f>
        <v>0</v>
      </c>
      <c r="AD37" s="639">
        <f>IF(N37="węgiel",Q37*'Założenia,wskaźniki, listy'!$C$47,IF(N37="gaz",Q37*'Założenia,wskaźniki, listy'!$D$47,IF(N37="drewno",Q37*'Założenia,wskaźniki, listy'!$E$47,IF(N37="pelet",Q37*'Założenia,wskaźniki, listy'!$G$47,IF(N37="olej opałowy",Q37*'Założenia,wskaźniki, listy'!$G$47,IF(N37="sieć ciepłownicza",0,IF(N37="prąd",0,0)))))))</f>
        <v>0</v>
      </c>
      <c r="AE37" s="639">
        <f>IF(N37="węgiel",Q37*'Założenia,wskaźniki, listy'!$C$48,IF(N37="gaz",Q37*'Założenia,wskaźniki, listy'!$D$48,IF(N37="drewno",Q37*'Założenia,wskaźniki, listy'!$E$48,IF(N37="pelet",Q37*'Założenia,wskaźniki, listy'!$G$48,IF(N37="olej opałowy",Q37*'Założenia,wskaźniki, listy'!$G$48,IF(N37="sieć ciepłownicza",0,IF(N37="prąd",0,0)))))))</f>
        <v>0</v>
      </c>
      <c r="AF37" s="639">
        <f>IF(N37="węgiel",Q37*'Założenia,wskaźniki, listy'!$C$49,IF(N37="gaz",Q37*'Założenia,wskaźniki, listy'!$D$49,IF(N37="drewno",Q37*'Założenia,wskaźniki, listy'!$E$49,IF(N37="pelet",Q37*'Założenia,wskaźniki, listy'!$G$49,IF(N37="olej opałowy",Q37*'Założenia,wskaźniki, listy'!$G$49,IF(N37="sieć ciepłownicza",0,IF(N37="prąd",0,0)))))))</f>
        <v>0</v>
      </c>
      <c r="AG37" s="639">
        <f>IF(N37="węgiel",Q37*'Założenia,wskaźniki, listy'!$C$50,IF(N37="gaz",Q37*'Założenia,wskaźniki, listy'!$D$50,IF(N37="drewno",Q37*'Założenia,wskaźniki, listy'!$E$50,IF(N37="pelet",Q37*'Założenia,wskaźniki, listy'!$G$50,IF(N37="olej opałowy",Q37*'Założenia,wskaźniki, listy'!$G$50,IF(N37="sieć ciepłownicza",0,IF(N37="prąd",0,0)))))))</f>
        <v>0</v>
      </c>
      <c r="AH37" s="640">
        <f>IF(L37="węgiel",(P37+R37)/2*'Założenia,wskaźniki, listy'!$C$4,IF(L37="gaz",(P37+R37)/2*'Założenia,wskaźniki, listy'!$C$5,IF(L37="drewno",(P37+R37)/2*'Założenia,wskaźniki, listy'!$C$6,IF(L37="pelet",(P37+R37)/2*'Założenia,wskaźniki, listy'!$C$7,IF(L37="olej opałowy",(P37+R37)/2*'Założenia,wskaźniki, listy'!$C$8,IF(L37="sieć ciepłownicza",(P37+R37)/2*'Założenia,wskaźniki, listy'!$C$9,IF(L37="sieć ciepłownicza",(P37+R37)/2*'Założenia,wskaźniki, listy'!$C$10,)))))))</f>
        <v>2724.7779999999998</v>
      </c>
      <c r="AI37" s="640">
        <f>IF(N37="węgiel",Q37*'Założenia,wskaźniki, listy'!$C$4,IF(N37="gaz",Q37*'Założenia,wskaźniki, listy'!$C$5,IF(N37="drewno",Q37*'Założenia,wskaźniki, listy'!$C$6,IF(N37="pelet",Q37*'Założenia,wskaźniki, listy'!$C$7,IF(N37="olej opałowy",Q37*'Założenia,wskaźniki, listy'!$C$8,IF(N37="sieć ciepłownicza",Q37*'Założenia,wskaźniki, listy'!$C$9,IF(N37="sieć ciepłownicza",Q37*'Założenia,wskaźniki, listy'!$C$10,0)))))))</f>
        <v>0</v>
      </c>
      <c r="AJ37" s="640">
        <f>S37*'Założenia,wskaźniki, listy'!$B$64*1000</f>
        <v>1441.5840000000001</v>
      </c>
      <c r="AK37" s="640">
        <f>(H37+I37)*'Założenia,wskaźniki, listy'!$D$64*12</f>
        <v>0</v>
      </c>
      <c r="AL37" s="640">
        <f>AK37*'Założenia,wskaźniki, listy'!$F$64</f>
        <v>0</v>
      </c>
      <c r="AM37" s="639">
        <f t="shared" ref="AM37:AM62" si="95">T37+AA37</f>
        <v>1.01745E-2</v>
      </c>
      <c r="AN37" s="639">
        <f t="shared" ref="AN37:AN62" si="96">U37+AB37</f>
        <v>9.0892200000000003E-3</v>
      </c>
      <c r="AO37" s="639">
        <f>V37+AC37+S37*'Założenia,wskaźniki, listy'!$J$46</f>
        <v>5.9272003999999994</v>
      </c>
      <c r="AP37" s="639">
        <f t="shared" ref="AP37:AP62" si="97">W37+AD37</f>
        <v>1.22094E-5</v>
      </c>
      <c r="AQ37" s="639">
        <f t="shared" ref="AQ37:AQ62" si="98">X37+AE37</f>
        <v>4.0697999999999998E-2</v>
      </c>
      <c r="AR37" s="639">
        <f t="shared" ref="AR37:AR62" si="99">Y37+AF37</f>
        <v>7.1447599999999991E-3</v>
      </c>
      <c r="AS37" s="639">
        <f t="shared" ref="AS37:AS62" si="100">Z37+AG37</f>
        <v>9.0965578900312913E-2</v>
      </c>
      <c r="AT37" s="647"/>
      <c r="AU37" s="647"/>
      <c r="AV37" s="624">
        <f t="shared" si="1"/>
        <v>140</v>
      </c>
      <c r="AW37" s="624">
        <f t="shared" si="2"/>
        <v>140</v>
      </c>
      <c r="AX37" s="624" t="b">
        <f t="shared" si="3"/>
        <v>0</v>
      </c>
      <c r="AY37" s="624" t="b">
        <f t="shared" si="4"/>
        <v>0</v>
      </c>
      <c r="AZ37" s="624" t="b">
        <f t="shared" si="5"/>
        <v>0</v>
      </c>
      <c r="BA37" s="624" t="b">
        <f t="shared" si="6"/>
        <v>0</v>
      </c>
      <c r="BB37" s="624" t="b">
        <f t="shared" si="7"/>
        <v>0</v>
      </c>
      <c r="BC37" s="624" t="b">
        <f t="shared" si="8"/>
        <v>0</v>
      </c>
      <c r="BD37" s="624" t="b">
        <f t="shared" si="9"/>
        <v>0</v>
      </c>
      <c r="BE37" s="624" t="b">
        <f t="shared" si="10"/>
        <v>0</v>
      </c>
      <c r="BF37" s="624">
        <f t="shared" si="11"/>
        <v>45.22</v>
      </c>
      <c r="BG37" s="624" t="b">
        <f t="shared" si="12"/>
        <v>0</v>
      </c>
      <c r="BH37" s="624" t="b">
        <f t="shared" si="13"/>
        <v>0</v>
      </c>
      <c r="BI37" s="624" t="b">
        <f t="shared" si="14"/>
        <v>0</v>
      </c>
      <c r="BJ37" s="624" t="b">
        <f t="shared" si="15"/>
        <v>0</v>
      </c>
      <c r="BK37" s="624" t="b">
        <f t="shared" si="16"/>
        <v>0</v>
      </c>
      <c r="BL37" s="624" t="b">
        <f t="shared" si="17"/>
        <v>0</v>
      </c>
      <c r="BM37" s="624" t="b">
        <f t="shared" si="18"/>
        <v>0</v>
      </c>
      <c r="BN37" s="624" t="b">
        <f t="shared" si="19"/>
        <v>0</v>
      </c>
      <c r="BO37" s="624" t="b">
        <f t="shared" si="20"/>
        <v>0</v>
      </c>
      <c r="BP37" s="624" t="b">
        <f t="shared" si="21"/>
        <v>0</v>
      </c>
      <c r="BQ37" s="624" t="b">
        <f t="shared" si="22"/>
        <v>0</v>
      </c>
    </row>
    <row r="38" spans="1:69">
      <c r="A38" s="1086"/>
      <c r="B38" s="872"/>
      <c r="C38" s="872"/>
      <c r="D38" s="645"/>
      <c r="E38" s="645"/>
      <c r="F38" s="644"/>
      <c r="G38" s="644"/>
      <c r="H38" s="644"/>
      <c r="I38" s="635"/>
      <c r="J38" s="644">
        <f>IF(F38&lt;=1966,'Założenia,wskaźniki, listy'!$H$4,IF(F38&gt;1966,IF(F38&lt;=1985,'Założenia,wskaźniki, listy'!$H$5,IF(F38&gt;1985,IF(F38&lt;=1992,'Założenia,wskaźniki, listy'!$H$6,IF(F38&gt;1992,IF(F38&lt;=1996,'Założenia,wskaźniki, listy'!$H$7,IF(F38&gt;1996,IF(F38&lt;=2013,'Założenia,wskaźniki, listy'!$H$8)))))))))</f>
        <v>290</v>
      </c>
      <c r="K38" s="872"/>
      <c r="L38" s="644" t="s">
        <v>79</v>
      </c>
      <c r="M38" s="635">
        <v>2</v>
      </c>
      <c r="N38" s="644"/>
      <c r="O38" s="637">
        <f t="shared" ref="O38" si="101">IF(P38&gt;0,(Q38+R38+P38)/2,Q38+R38)</f>
        <v>30</v>
      </c>
      <c r="P38" s="646">
        <f>IF(K38="kompletna",J38*G38*0.0036*'Założenia,wskaźniki, listy'!$P$9,IF(K38="częściowa",J38*G38*0.0036*'Założenia,wskaźniki, listy'!$P$10,IF(K38="brak",J38*G38*0.0036*'Założenia,wskaźniki, listy'!$P$11,0)))</f>
        <v>0</v>
      </c>
      <c r="Q38" s="638">
        <f>H38*'Założenia,wskaźniki, listy'!$L$15</f>
        <v>0</v>
      </c>
      <c r="R38" s="635">
        <f>IF(L38="węgiel",'Mieszkalne - baza'!M38*'Założenia,wskaźniki, listy'!$B$4,IF(L38="gaz",'Mieszkalne - baza'!M38*'Założenia,wskaźniki, listy'!$B$5,IF(L38="drewno",'Mieszkalne - baza'!M38*'Założenia,wskaźniki, listy'!$B$6,IF(L38="pelet",'Mieszkalne - baza'!M38*'Założenia,wskaźniki, listy'!$B$7,IF(L38="olej opałowy",'Mieszkalne - baza'!M38*'Założenia,wskaźniki, listy'!$B$8,IF(L38="sieć ciepłownicza",0,0))))))</f>
        <v>30</v>
      </c>
      <c r="S38" s="1085"/>
      <c r="T38" s="639">
        <f>IF(L38="węgiel",R38*'Założenia,wskaźniki, listy'!$C$44,IF(L38="gaz",R38*'Założenia,wskaźniki, listy'!$D$44,IF(L38="drewno",R38*'Założenia,wskaźniki, listy'!$E$44,IF(L38="pelet",R38*'Założenia,wskaźniki, listy'!$F$44,IF(L38="olej opałowy",R38*'Założenia,wskaźniki, listy'!$G$44,IF(L38="sieć ciepłownicza",0,IF(L38="prąd",0,0)))))))</f>
        <v>1.44E-2</v>
      </c>
      <c r="U38" s="639">
        <f>IF(L38="węgiel",R38*'Założenia,wskaźniki, listy'!$C$45,IF(L38="gaz",R38*'Założenia,wskaźniki, listy'!$D$45,IF(L38="drewno",R38*'Założenia,wskaźniki, listy'!$E$45,IF(L38="pelet",R38*'Założenia,wskaźniki, listy'!$F$45,IF(L38="olej opałowy",R38*'Założenia,wskaźniki, listy'!$G$45,IF(L38="sieć ciepłownicza",0,IF(L38="prąd",0,0)))))))</f>
        <v>1.41E-2</v>
      </c>
      <c r="V38" s="639">
        <f>IF(L38="węgiel",R38*'Założenia,wskaźniki, listy'!$C$46,IF(L38="gaz",R38*'Założenia,wskaźniki, listy'!$D$46,IF(L38="drewno",R38*'Założenia,wskaźniki, listy'!$E$46,IF(L38="pelet",R38*'Założenia,wskaźniki, listy'!$F$46,IF(L38="olej opałowy",R38*'Założenia,wskaźniki, listy'!$G$46,IF(L38="sieć ciepłownicza",R38*'Założenia,wskaźniki, listy'!$H$46,IF(L38="prąd",R38*'Założenia,wskaźniki, listy'!$I$46,0)))))))</f>
        <v>0</v>
      </c>
      <c r="W38" s="639">
        <f>IF(L38="węgiel",R38*'Założenia,wskaźniki, listy'!$C$47,IF(L38="gaz",R38*'Założenia,wskaźniki, listy'!$D$47,IF(L38="drewno",R38*'Założenia,wskaźniki, listy'!$E$47,IF(L38="pelet",R38*'Założenia,wskaźniki, listy'!$F$47,IF(L38="olej opałowy",R38*'Założenia,wskaźniki, listy'!$G$47,IF(L38="sieć ciepłownicza",0,IF(L38="prąd",0,0)))))))</f>
        <v>3.6300000000000004E-6</v>
      </c>
      <c r="X38" s="639">
        <f>IF(L38="węgiel",R38*'Założenia,wskaźniki, listy'!$C$48, IF(L38="gaz",R38*'Założenia,wskaźniki, listy'!$D$48,IF(L38="drewno",R38*'Założenia,wskaźniki, listy'!$E$48,IF(L38="pelet",R38*'Założenia,wskaźniki, listy'!$F$48,IF(L38="olej opałowy",R38*'Założenia,wskaźniki, listy'!$G$48,IF(L38="sieć ciepłownicza",0,IF(L38="prąd",0,0)))))))</f>
        <v>3.3E-4</v>
      </c>
      <c r="Y38" s="639">
        <f>IF(L38="węgiel",R38*'Założenia,wskaźniki, listy'!$C$49, IF(L38="gaz",R38*'Założenia,wskaźniki, listy'!$D$49, IF(L38="drewno",R38*'Założenia,wskaźniki, listy'!$E$49,IF(L38="pelet",R38*'Założenia,wskaźniki, listy'!$F$49,IF(L38="olej opałowy",R38*'Założenia,wskaźniki, listy'!$G$49,IF(L38="sieć ciepłownicza",0,IF(L38="prąd",0,0)))))))</f>
        <v>2.4000000000000002E-3</v>
      </c>
      <c r="Z38" s="639">
        <f>IF(L38="węgiel",R38*'Założenia,wskaźniki, listy'!$C$50,IF(L38="gaz",R38*'Założenia,wskaźniki, listy'!$D$50, IF(L38="drewno",R38*'Założenia,wskaźniki, listy'!$E$50,IF(L38="pelet",R38*'Założenia,wskaźniki, listy'!$F$50,IF(L38="pelet",R38*'Założenia,wskaźniki, listy'!$F$50,IF(L38="olej opałowy",R38*'Założenia,wskaźniki, listy'!$G$50,IF(L38="sieć ciepłownicza",0,IF(L38="prąd",0,0))))))))</f>
        <v>5.3819999999999996E-3</v>
      </c>
      <c r="AA38" s="639">
        <f>IF(N38="węgiel",Q38*'Założenia,wskaźniki, listy'!$C$44,IF(N38="gaz",Q38*'Założenia,wskaźniki, listy'!$D$44,IF(N38="drewno",Q38*'Założenia,wskaźniki, listy'!$E$44,IF(N38="pelet",Q38*'Założenia,wskaźniki, listy'!$G$44,IF(N38="olej opałowy",Q38*'Założenia,wskaźniki, listy'!$G$44,IF(N38="sieć ciepłownicza",0,IF(N38="prąd",0,0)))))))</f>
        <v>0</v>
      </c>
      <c r="AB38" s="639">
        <f>IF(N38="węgiel",Q38*'Założenia,wskaźniki, listy'!$C$45,IF(N38="gaz",Q38*'Założenia,wskaźniki, listy'!$D$45,IF(N38="drewno",Q38*'Założenia,wskaźniki, listy'!$E$45,IF(N38="pelet",Q38*'Założenia,wskaźniki, listy'!$G$45,IF(N38="olej opałowy",Q38*'Założenia,wskaźniki, listy'!$G$45,IF(N38="sieć ciepłownicza",0,IF(N38="prąd",0,0)))))))</f>
        <v>0</v>
      </c>
      <c r="AC38" s="639">
        <f>IF(N38="węgiel",Q38*'Założenia,wskaźniki, listy'!$C$46,IF(N38="gaz",Q38*'Założenia,wskaźniki, listy'!$D$46,IF(N38="drewno",Q38*'Założenia,wskaźniki, listy'!$E$46,IF(N38="pelet",Q38*'Założenia,wskaźniki, listy'!$G$46,IF(N38="olej opałowy",Q38*'Założenia,wskaźniki, listy'!$G$46,IF(N38="sieć ciepłownicza",0,IF(N38="prąd",0,0)))))))</f>
        <v>0</v>
      </c>
      <c r="AD38" s="639">
        <f>IF(N38="węgiel",Q38*'Założenia,wskaźniki, listy'!$C$47,IF(N38="gaz",Q38*'Założenia,wskaźniki, listy'!$D$47,IF(N38="drewno",Q38*'Założenia,wskaźniki, listy'!$E$47,IF(N38="pelet",Q38*'Założenia,wskaźniki, listy'!$G$47,IF(N38="olej opałowy",Q38*'Założenia,wskaźniki, listy'!$G$47,IF(N38="sieć ciepłownicza",0,IF(N38="prąd",0,0)))))))</f>
        <v>0</v>
      </c>
      <c r="AE38" s="639">
        <f>IF(N38="węgiel",Q38*'Założenia,wskaźniki, listy'!$C$48,IF(N38="gaz",Q38*'Założenia,wskaźniki, listy'!$D$48,IF(N38="drewno",Q38*'Założenia,wskaźniki, listy'!$E$48,IF(N38="pelet",Q38*'Założenia,wskaźniki, listy'!$G$48,IF(N38="olej opałowy",Q38*'Założenia,wskaźniki, listy'!$G$48,IF(N38="sieć ciepłownicza",0,IF(N38="prąd",0,0)))))))</f>
        <v>0</v>
      </c>
      <c r="AF38" s="639">
        <f>IF(N38="węgiel",Q38*'Założenia,wskaźniki, listy'!$C$49,IF(N38="gaz",Q38*'Założenia,wskaźniki, listy'!$D$49,IF(N38="drewno",Q38*'Założenia,wskaźniki, listy'!$E$49,IF(N38="pelet",Q38*'Założenia,wskaźniki, listy'!$G$49,IF(N38="olej opałowy",Q38*'Założenia,wskaźniki, listy'!$G$49,IF(N38="sieć ciepłownicza",0,IF(N38="prąd",0,0)))))))</f>
        <v>0</v>
      </c>
      <c r="AG38" s="639">
        <f>IF(N38="węgiel",Q38*'Założenia,wskaźniki, listy'!$C$50,IF(N38="gaz",Q38*'Założenia,wskaźniki, listy'!$D$50,IF(N38="drewno",Q38*'Założenia,wskaźniki, listy'!$E$50,IF(N38="pelet",Q38*'Założenia,wskaźniki, listy'!$G$50,IF(N38="olej opałowy",Q38*'Założenia,wskaźniki, listy'!$G$50,IF(N38="sieć ciepłownicza",0,IF(N38="prąd",0,0)))))))</f>
        <v>0</v>
      </c>
      <c r="AH38" s="640">
        <f>IF(L38="węgiel",(P38+R38)/2*'Założenia,wskaźniki, listy'!$C$4,IF(L38="gaz",(P38+R38)/2*'Założenia,wskaźniki, listy'!$C$5,IF(L38="drewno",(P38+R38)/2*'Założenia,wskaźniki, listy'!$C$6,IF(L38="pelet",(P38+R38)/2*'Założenia,wskaźniki, listy'!$C$7,IF(L38="olej opałowy",(P38+R38)/2*'Założenia,wskaźniki, listy'!$C$8,IF(L38="sieć ciepłownicza",(P38+R38)/2*'Założenia,wskaźniki, listy'!$C$9,IF(L38="sieć ciepłownicza",(P38+R38)/2*'Założenia,wskaźniki, listy'!$C$10,)))))))</f>
        <v>570</v>
      </c>
      <c r="AI38" s="640">
        <f>IF(N38="węgiel",Q38*'Założenia,wskaźniki, listy'!$C$4,IF(N38="gaz",Q38*'Założenia,wskaźniki, listy'!$C$5,IF(N38="drewno",Q38*'Założenia,wskaźniki, listy'!$C$6,IF(N38="pelet",Q38*'Założenia,wskaźniki, listy'!$C$7,IF(N38="olej opałowy",Q38*'Założenia,wskaźniki, listy'!$C$8,IF(N38="sieć ciepłownicza",Q38*'Założenia,wskaźniki, listy'!$C$9,IF(N38="sieć ciepłownicza",Q38*'Założenia,wskaźniki, listy'!$C$10,0)))))))</f>
        <v>0</v>
      </c>
      <c r="AJ38" s="640">
        <f>S38*'Założenia,wskaźniki, listy'!$B$64*1000</f>
        <v>0</v>
      </c>
      <c r="AK38" s="640">
        <f>(H38+I38)*'Założenia,wskaźniki, listy'!$D$64*12</f>
        <v>0</v>
      </c>
      <c r="AL38" s="640">
        <f>AK38*'Założenia,wskaźniki, listy'!$F$64</f>
        <v>0</v>
      </c>
      <c r="AM38" s="639">
        <f t="shared" ref="AM38" si="102">T38+AA38</f>
        <v>1.44E-2</v>
      </c>
      <c r="AN38" s="639">
        <f t="shared" ref="AN38" si="103">U38+AB38</f>
        <v>1.41E-2</v>
      </c>
      <c r="AO38" s="639">
        <f>V38+AC38+S38*'Założenia,wskaźniki, listy'!$J$46</f>
        <v>0</v>
      </c>
      <c r="AP38" s="639">
        <f t="shared" ref="AP38" si="104">W38+AD38</f>
        <v>3.6300000000000004E-6</v>
      </c>
      <c r="AQ38" s="639">
        <f t="shared" ref="AQ38" si="105">X38+AE38</f>
        <v>3.3E-4</v>
      </c>
      <c r="AR38" s="639">
        <f t="shared" ref="AR38" si="106">Y38+AF38</f>
        <v>2.4000000000000002E-3</v>
      </c>
      <c r="AS38" s="639">
        <f t="shared" ref="AS38" si="107">Z38+AG38</f>
        <v>5.3819999999999996E-3</v>
      </c>
      <c r="AT38" s="647"/>
      <c r="AU38" s="647"/>
      <c r="AV38" s="624">
        <f t="shared" si="1"/>
        <v>0</v>
      </c>
      <c r="AW38" s="624" t="b">
        <f t="shared" si="2"/>
        <v>0</v>
      </c>
      <c r="AX38" s="624" t="b">
        <f t="shared" si="3"/>
        <v>0</v>
      </c>
      <c r="AY38" s="624" t="b">
        <f t="shared" si="4"/>
        <v>0</v>
      </c>
      <c r="AZ38" s="624" t="b">
        <f t="shared" si="5"/>
        <v>0</v>
      </c>
      <c r="BA38" s="624" t="b">
        <f t="shared" si="6"/>
        <v>0</v>
      </c>
      <c r="BB38" s="624" t="b">
        <f t="shared" si="7"/>
        <v>0</v>
      </c>
      <c r="BC38" s="624" t="b">
        <f t="shared" si="8"/>
        <v>0</v>
      </c>
      <c r="BD38" s="624" t="b">
        <f t="shared" si="9"/>
        <v>0</v>
      </c>
      <c r="BE38" s="624" t="b">
        <f t="shared" si="10"/>
        <v>0</v>
      </c>
      <c r="BF38" s="624" t="b">
        <f t="shared" si="11"/>
        <v>0</v>
      </c>
      <c r="BG38" s="624" t="b">
        <f t="shared" si="12"/>
        <v>0</v>
      </c>
      <c r="BH38" s="624">
        <f t="shared" si="13"/>
        <v>30</v>
      </c>
      <c r="BI38" s="624" t="b">
        <f t="shared" si="14"/>
        <v>0</v>
      </c>
      <c r="BJ38" s="624" t="b">
        <f t="shared" si="15"/>
        <v>0</v>
      </c>
      <c r="BK38" s="624" t="b">
        <f t="shared" si="16"/>
        <v>0</v>
      </c>
      <c r="BL38" s="624" t="b">
        <f t="shared" si="17"/>
        <v>0</v>
      </c>
      <c r="BM38" s="624" t="b">
        <f t="shared" si="18"/>
        <v>0</v>
      </c>
      <c r="BN38" s="624" t="b">
        <f t="shared" si="19"/>
        <v>0</v>
      </c>
      <c r="BO38" s="624" t="b">
        <f t="shared" si="20"/>
        <v>0</v>
      </c>
      <c r="BP38" s="624" t="b">
        <f t="shared" si="21"/>
        <v>0</v>
      </c>
      <c r="BQ38" s="624" t="b">
        <f t="shared" si="22"/>
        <v>0</v>
      </c>
    </row>
    <row r="39" spans="1:69">
      <c r="A39" s="1086">
        <v>18</v>
      </c>
      <c r="B39" s="872" t="s">
        <v>21</v>
      </c>
      <c r="C39" s="873" t="s">
        <v>621</v>
      </c>
      <c r="D39" s="636" t="s">
        <v>622</v>
      </c>
      <c r="E39" s="645">
        <v>10</v>
      </c>
      <c r="F39" s="873">
        <v>1965</v>
      </c>
      <c r="G39" s="873">
        <v>120</v>
      </c>
      <c r="H39" s="644"/>
      <c r="I39" s="635"/>
      <c r="J39" s="644">
        <f>IF(F39&lt;=1966,'Założenia,wskaźniki, listy'!$H$4,IF(F39&gt;1966,IF(F39&lt;=1985,'Założenia,wskaźniki, listy'!$H$5,IF(F39&gt;1985,IF(F39&lt;=1992,'Założenia,wskaźniki, listy'!$H$6,IF(F39&gt;1992,IF(F39&lt;=1996,'Założenia,wskaźniki, listy'!$H$7,IF(F39&gt;1996,IF(F39&lt;=2013,'Założenia,wskaźniki, listy'!$H$8)))))))))</f>
        <v>290</v>
      </c>
      <c r="K39" s="864" t="s">
        <v>33</v>
      </c>
      <c r="L39" s="872" t="s">
        <v>8</v>
      </c>
      <c r="M39" s="873">
        <v>2</v>
      </c>
      <c r="N39" s="644"/>
      <c r="O39" s="637">
        <f t="shared" si="23"/>
        <v>72.722000000000008</v>
      </c>
      <c r="P39" s="646">
        <f>IF(K39="kompletna",J39*G39*0.0036*'Założenia,wskaźniki, listy'!$P$9,IF(K39="częściowa",J39*G39*0.0036*'Założenia,wskaźniki, listy'!$P$10,IF(K39="brak",J39*G39*0.0036*'Założenia,wskaźniki, listy'!$P$11,0)))</f>
        <v>100.224</v>
      </c>
      <c r="Q39" s="638">
        <f>H39*'Założenia,wskaźniki, listy'!$L$15</f>
        <v>0</v>
      </c>
      <c r="R39" s="635">
        <f>IF(L39="węgiel",'Mieszkalne - baza'!M39*'Założenia,wskaźniki, listy'!$B$4,IF(L39="gaz",'Mieszkalne - baza'!M39*'Założenia,wskaźniki, listy'!$B$5,IF(L39="drewno",'Mieszkalne - baza'!M39*'Założenia,wskaźniki, listy'!$B$6,IF(L39="pelet",'Mieszkalne - baza'!M39*'Założenia,wskaźniki, listy'!$B$7,IF(L39="olej opałowy",'Mieszkalne - baza'!M39*'Założenia,wskaźniki, listy'!$B$8,IF(L39="sieć ciepłownicza",0,0))))))</f>
        <v>45.22</v>
      </c>
      <c r="S39" s="1084">
        <v>2.2560000000000002</v>
      </c>
      <c r="T39" s="639">
        <f>IF(L39="węgiel",R39*'Założenia,wskaźniki, listy'!$C$44,IF(L39="gaz",R39*'Założenia,wskaźniki, listy'!$D$44,IF(L39="drewno",R39*'Założenia,wskaźniki, listy'!$E$44,IF(L39="pelet",R39*'Założenia,wskaźniki, listy'!$F$44,IF(L39="olej opałowy",R39*'Założenia,wskaźniki, listy'!$G$44,IF(L39="sieć ciepłownicza",0,IF(L39="prąd",0,0)))))))</f>
        <v>1.01745E-2</v>
      </c>
      <c r="U39" s="639">
        <f>IF(L39="węgiel",R39*'Założenia,wskaźniki, listy'!$C$45,IF(L39="gaz",R39*'Założenia,wskaźniki, listy'!$D$45,IF(L39="drewno",R39*'Założenia,wskaźniki, listy'!$E$45,IF(L39="pelet",R39*'Założenia,wskaźniki, listy'!$F$45,IF(L39="olej opałowy",R39*'Założenia,wskaźniki, listy'!$G$45,IF(L39="sieć ciepłownicza",0,IF(L39="prąd",0,0)))))))</f>
        <v>9.0892200000000003E-3</v>
      </c>
      <c r="V39" s="639">
        <f>IF(L39="węgiel",R39*'Założenia,wskaźniki, listy'!$C$46,IF(L39="gaz",R39*'Założenia,wskaźniki, listy'!$D$46,IF(L39="drewno",R39*'Założenia,wskaźniki, listy'!$E$46,IF(L39="pelet",R39*'Założenia,wskaźniki, listy'!$F$46,IF(L39="olej opałowy",R39*'Założenia,wskaźniki, listy'!$G$46,IF(L39="sieć ciepłownicza",R39*'Założenia,wskaźniki, listy'!$H$46,IF(L39="prąd",R39*'Założenia,wskaźniki, listy'!$I$46,0)))))))</f>
        <v>4.2389227999999992</v>
      </c>
      <c r="W39" s="639">
        <f>IF(L39="węgiel",R39*'Założenia,wskaźniki, listy'!$C$47,IF(L39="gaz",R39*'Założenia,wskaźniki, listy'!$D$47,IF(L39="drewno",R39*'Założenia,wskaźniki, listy'!$E$47,IF(L39="pelet",R39*'Założenia,wskaźniki, listy'!$F$47,IF(L39="olej opałowy",R39*'Założenia,wskaźniki, listy'!$G$47,IF(L39="sieć ciepłownicza",0,IF(L39="prąd",0,0)))))))</f>
        <v>1.22094E-5</v>
      </c>
      <c r="X39" s="639">
        <f>IF(L39="węgiel",R39*'Założenia,wskaźniki, listy'!$C$48, IF(L39="gaz",R39*'Założenia,wskaźniki, listy'!$D$48,IF(L39="drewno",R39*'Założenia,wskaźniki, listy'!$E$48,IF(L39="pelet",R39*'Założenia,wskaźniki, listy'!$F$48,IF(L39="olej opałowy",R39*'Założenia,wskaźniki, listy'!$G$48,IF(L39="sieć ciepłownicza",0,IF(L39="prąd",0,0)))))))</f>
        <v>4.0697999999999998E-2</v>
      </c>
      <c r="Y39" s="639">
        <f>IF(L39="węgiel",R39*'Założenia,wskaźniki, listy'!$C$49, IF(L39="gaz",R39*'Założenia,wskaźniki, listy'!$D$49, IF(L39="drewno",R39*'Założenia,wskaźniki, listy'!$E$49,IF(L39="pelet",R39*'Założenia,wskaźniki, listy'!$F$49,IF(L39="olej opałowy",R39*'Założenia,wskaźniki, listy'!$G$49,IF(L39="sieć ciepłownicza",0,IF(L39="prąd",0,0)))))))</f>
        <v>7.1447599999999991E-3</v>
      </c>
      <c r="Z39" s="639">
        <f>IF(L39="węgiel",R39*'Założenia,wskaźniki, listy'!$C$50,IF(L39="gaz",R39*'Założenia,wskaźniki, listy'!$D$50, IF(L39="drewno",R39*'Założenia,wskaźniki, listy'!$E$50,IF(L39="pelet",R39*'Założenia,wskaźniki, listy'!$F$50,IF(L39="pelet",R39*'Założenia,wskaźniki, listy'!$F$50,IF(L39="olej opałowy",R39*'Założenia,wskaźniki, listy'!$G$50,IF(L39="sieć ciepłownicza",0,IF(L39="prąd",0,0))))))))</f>
        <v>9.0965578900312913E-2</v>
      </c>
      <c r="AA39" s="639">
        <f>IF(N39="węgiel",Q39*'Założenia,wskaźniki, listy'!$C$44,IF(N39="gaz",Q39*'Założenia,wskaźniki, listy'!$D$44,IF(N39="drewno",Q39*'Założenia,wskaźniki, listy'!$E$44,IF(N39="pelet",Q39*'Założenia,wskaźniki, listy'!$G$44,IF(N39="olej opałowy",Q39*'Założenia,wskaźniki, listy'!$G$44,IF(N39="sieć ciepłownicza",0,IF(N39="prąd",0,0)))))))</f>
        <v>0</v>
      </c>
      <c r="AB39" s="639">
        <f>IF(N39="węgiel",Q39*'Założenia,wskaźniki, listy'!$C$45,IF(N39="gaz",Q39*'Założenia,wskaźniki, listy'!$D$45,IF(N39="drewno",Q39*'Założenia,wskaźniki, listy'!$E$45,IF(N39="pelet",Q39*'Założenia,wskaźniki, listy'!$G$45,IF(N39="olej opałowy",Q39*'Założenia,wskaźniki, listy'!$G$45,IF(N39="sieć ciepłownicza",0,IF(N39="prąd",0,0)))))))</f>
        <v>0</v>
      </c>
      <c r="AC39" s="639">
        <f>IF(N39="węgiel",Q39*'Założenia,wskaźniki, listy'!$C$46,IF(N39="gaz",Q39*'Założenia,wskaźniki, listy'!$D$46,IF(N39="drewno",Q39*'Założenia,wskaźniki, listy'!$E$46,IF(N39="pelet",Q39*'Założenia,wskaźniki, listy'!$G$46,IF(N39="olej opałowy",Q39*'Założenia,wskaźniki, listy'!$G$46,IF(N39="sieć ciepłownicza",0,IF(N39="prąd",0,0)))))))</f>
        <v>0</v>
      </c>
      <c r="AD39" s="639">
        <f>IF(N39="węgiel",Q39*'Założenia,wskaźniki, listy'!$C$47,IF(N39="gaz",Q39*'Założenia,wskaźniki, listy'!$D$47,IF(N39="drewno",Q39*'Założenia,wskaźniki, listy'!$E$47,IF(N39="pelet",Q39*'Założenia,wskaźniki, listy'!$G$47,IF(N39="olej opałowy",Q39*'Założenia,wskaźniki, listy'!$G$47,IF(N39="sieć ciepłownicza",0,IF(N39="prąd",0,0)))))))</f>
        <v>0</v>
      </c>
      <c r="AE39" s="639">
        <f>IF(N39="węgiel",Q39*'Założenia,wskaźniki, listy'!$C$48,IF(N39="gaz",Q39*'Założenia,wskaźniki, listy'!$D$48,IF(N39="drewno",Q39*'Założenia,wskaźniki, listy'!$E$48,IF(N39="pelet",Q39*'Założenia,wskaźniki, listy'!$G$48,IF(N39="olej opałowy",Q39*'Założenia,wskaźniki, listy'!$G$48,IF(N39="sieć ciepłownicza",0,IF(N39="prąd",0,0)))))))</f>
        <v>0</v>
      </c>
      <c r="AF39" s="639">
        <f>IF(N39="węgiel",Q39*'Założenia,wskaźniki, listy'!$C$49,IF(N39="gaz",Q39*'Założenia,wskaźniki, listy'!$D$49,IF(N39="drewno",Q39*'Założenia,wskaźniki, listy'!$E$49,IF(N39="pelet",Q39*'Założenia,wskaźniki, listy'!$G$49,IF(N39="olej opałowy",Q39*'Założenia,wskaźniki, listy'!$G$49,IF(N39="sieć ciepłownicza",0,IF(N39="prąd",0,0)))))))</f>
        <v>0</v>
      </c>
      <c r="AG39" s="639">
        <f>IF(N39="węgiel",Q39*'Założenia,wskaźniki, listy'!$C$50,IF(N39="gaz",Q39*'Założenia,wskaźniki, listy'!$D$50,IF(N39="drewno",Q39*'Założenia,wskaźniki, listy'!$E$50,IF(N39="pelet",Q39*'Założenia,wskaźniki, listy'!$G$50,IF(N39="olej opałowy",Q39*'Założenia,wskaźniki, listy'!$G$50,IF(N39="sieć ciepłownicza",0,IF(N39="prąd",0,0)))))))</f>
        <v>0</v>
      </c>
      <c r="AH39" s="640">
        <f>IF(L39="węgiel",(P39+R39)/2*'Założenia,wskaźniki, listy'!$C$4,IF(L39="gaz",(P39+R39)/2*'Założenia,wskaźniki, listy'!$C$5,IF(L39="drewno",(P39+R39)/2*'Założenia,wskaźniki, listy'!$C$6,IF(L39="pelet",(P39+R39)/2*'Założenia,wskaźniki, listy'!$C$7,IF(L39="olej opałowy",(P39+R39)/2*'Założenia,wskaźniki, listy'!$C$8,IF(L39="sieć ciepłownicza",(P39+R39)/2*'Założenia,wskaźniki, listy'!$C$9,IF(L39="sieć ciepłownicza",(P39+R39)/2*'Założenia,wskaźniki, listy'!$C$10,)))))))</f>
        <v>2981.6020000000003</v>
      </c>
      <c r="AI39" s="640">
        <f>IF(N39="węgiel",Q39*'Założenia,wskaźniki, listy'!$C$4,IF(N39="gaz",Q39*'Założenia,wskaźniki, listy'!$C$5,IF(N39="drewno",Q39*'Założenia,wskaźniki, listy'!$C$6,IF(N39="pelet",Q39*'Założenia,wskaźniki, listy'!$C$7,IF(N39="olej opałowy",Q39*'Założenia,wskaźniki, listy'!$C$8,IF(N39="sieć ciepłownicza",Q39*'Założenia,wskaźniki, listy'!$C$9,IF(N39="sieć ciepłownicza",Q39*'Założenia,wskaźniki, listy'!$C$10,0)))))))</f>
        <v>0</v>
      </c>
      <c r="AJ39" s="640">
        <f>S39*'Założenia,wskaźniki, listy'!$B$64*1000</f>
        <v>1601.76</v>
      </c>
      <c r="AK39" s="640">
        <f>(H39+I39)*'Założenia,wskaźniki, listy'!$D$64*12</f>
        <v>0</v>
      </c>
      <c r="AL39" s="640">
        <f>AK39*'Założenia,wskaźniki, listy'!$F$64</f>
        <v>0</v>
      </c>
      <c r="AM39" s="639">
        <f t="shared" si="95"/>
        <v>1.01745E-2</v>
      </c>
      <c r="AN39" s="639">
        <f t="shared" si="96"/>
        <v>9.0892200000000003E-3</v>
      </c>
      <c r="AO39" s="639">
        <f>V39+AC39+S39*'Założenia,wskaźniki, listy'!$J$46</f>
        <v>6.1147867999999992</v>
      </c>
      <c r="AP39" s="639">
        <f t="shared" si="97"/>
        <v>1.22094E-5</v>
      </c>
      <c r="AQ39" s="639">
        <f t="shared" si="98"/>
        <v>4.0697999999999998E-2</v>
      </c>
      <c r="AR39" s="639">
        <f t="shared" si="99"/>
        <v>7.1447599999999991E-3</v>
      </c>
      <c r="AS39" s="639">
        <f t="shared" si="100"/>
        <v>9.0965578900312913E-2</v>
      </c>
      <c r="AT39" s="647"/>
      <c r="AU39" s="647"/>
      <c r="AV39" s="624">
        <f t="shared" si="1"/>
        <v>120</v>
      </c>
      <c r="AW39" s="624">
        <f t="shared" si="2"/>
        <v>60</v>
      </c>
      <c r="AX39" s="624" t="b">
        <f t="shared" si="3"/>
        <v>0</v>
      </c>
      <c r="AY39" s="624">
        <f t="shared" si="4"/>
        <v>0</v>
      </c>
      <c r="AZ39" s="624" t="b">
        <f t="shared" si="5"/>
        <v>0</v>
      </c>
      <c r="BA39" s="624">
        <f t="shared" si="6"/>
        <v>0</v>
      </c>
      <c r="BB39" s="624" t="b">
        <f t="shared" si="7"/>
        <v>0</v>
      </c>
      <c r="BC39" s="624">
        <f t="shared" si="8"/>
        <v>0</v>
      </c>
      <c r="BD39" s="624" t="b">
        <f t="shared" si="9"/>
        <v>0</v>
      </c>
      <c r="BE39" s="624">
        <f t="shared" si="10"/>
        <v>0</v>
      </c>
      <c r="BF39" s="624">
        <f t="shared" si="11"/>
        <v>45.22</v>
      </c>
      <c r="BG39" s="624" t="b">
        <f t="shared" si="12"/>
        <v>0</v>
      </c>
      <c r="BH39" s="624" t="b">
        <f t="shared" si="13"/>
        <v>0</v>
      </c>
      <c r="BI39" s="624" t="b">
        <f t="shared" si="14"/>
        <v>0</v>
      </c>
      <c r="BJ39" s="624" t="b">
        <f t="shared" si="15"/>
        <v>0</v>
      </c>
      <c r="BK39" s="624" t="b">
        <f t="shared" si="16"/>
        <v>0</v>
      </c>
      <c r="BL39" s="624" t="b">
        <f t="shared" si="17"/>
        <v>0</v>
      </c>
      <c r="BM39" s="624" t="b">
        <f t="shared" si="18"/>
        <v>0</v>
      </c>
      <c r="BN39" s="624" t="b">
        <f t="shared" si="19"/>
        <v>0</v>
      </c>
      <c r="BO39" s="624" t="b">
        <f t="shared" si="20"/>
        <v>0</v>
      </c>
      <c r="BP39" s="624" t="b">
        <f t="shared" si="21"/>
        <v>0</v>
      </c>
      <c r="BQ39" s="624" t="b">
        <f t="shared" si="22"/>
        <v>0</v>
      </c>
    </row>
    <row r="40" spans="1:69">
      <c r="A40" s="1086"/>
      <c r="B40" s="872"/>
      <c r="C40" s="872"/>
      <c r="D40" s="645"/>
      <c r="E40" s="645"/>
      <c r="F40" s="644"/>
      <c r="G40" s="644"/>
      <c r="H40" s="644"/>
      <c r="I40" s="635"/>
      <c r="J40" s="644">
        <f>IF(F40&lt;=1966,'Założenia,wskaźniki, listy'!$H$4,IF(F40&gt;1966,IF(F40&lt;=1985,'Założenia,wskaźniki, listy'!$H$5,IF(F40&gt;1985,IF(F40&lt;=1992,'Założenia,wskaźniki, listy'!$H$6,IF(F40&gt;1992,IF(F40&lt;=1996,'Założenia,wskaźniki, listy'!$H$7,IF(F40&gt;1996,IF(F40&lt;=2013,'Założenia,wskaźniki, listy'!$H$8)))))))))</f>
        <v>290</v>
      </c>
      <c r="K40" s="872"/>
      <c r="L40" s="872" t="s">
        <v>79</v>
      </c>
      <c r="M40" s="873">
        <v>3</v>
      </c>
      <c r="N40" s="644"/>
      <c r="O40" s="637">
        <f t="shared" ref="O40" si="108">IF(P40&gt;0,(Q40+R40+P40)/2,Q40+R40)</f>
        <v>45</v>
      </c>
      <c r="P40" s="646">
        <f>IF(K40="kompletna",J40*G40*0.0036*'Założenia,wskaźniki, listy'!$P$9,IF(K40="częściowa",J40*G40*0.0036*'Założenia,wskaźniki, listy'!$P$10,IF(K40="brak",J40*G40*0.0036*'Założenia,wskaźniki, listy'!$P$11,0)))</f>
        <v>0</v>
      </c>
      <c r="Q40" s="638">
        <f>H40*'Założenia,wskaźniki, listy'!$L$15</f>
        <v>0</v>
      </c>
      <c r="R40" s="635">
        <f>IF(L40="węgiel",'Mieszkalne - baza'!M40*'Założenia,wskaźniki, listy'!$B$4,IF(L40="gaz",'Mieszkalne - baza'!M40*'Założenia,wskaźniki, listy'!$B$5,IF(L40="drewno",'Mieszkalne - baza'!M40*'Założenia,wskaźniki, listy'!$B$6,IF(L40="pelet",'Mieszkalne - baza'!M40*'Założenia,wskaźniki, listy'!$B$7,IF(L40="olej opałowy",'Mieszkalne - baza'!M40*'Założenia,wskaźniki, listy'!$B$8,IF(L40="sieć ciepłownicza",0,0))))))</f>
        <v>45</v>
      </c>
      <c r="S40" s="1085"/>
      <c r="T40" s="639">
        <f>IF(L40="węgiel",R40*'Założenia,wskaźniki, listy'!$C$44,IF(L40="gaz",R40*'Założenia,wskaźniki, listy'!$D$44,IF(L40="drewno",R40*'Założenia,wskaźniki, listy'!$E$44,IF(L40="pelet",R40*'Założenia,wskaźniki, listy'!$F$44,IF(L40="olej opałowy",R40*'Założenia,wskaźniki, listy'!$G$44,IF(L40="sieć ciepłownicza",0,IF(L40="prąd",0,0)))))))</f>
        <v>2.1600000000000001E-2</v>
      </c>
      <c r="U40" s="639">
        <f>IF(L40="węgiel",R40*'Założenia,wskaźniki, listy'!$C$45,IF(L40="gaz",R40*'Założenia,wskaźniki, listy'!$D$45,IF(L40="drewno",R40*'Założenia,wskaźniki, listy'!$E$45,IF(L40="pelet",R40*'Założenia,wskaźniki, listy'!$F$45,IF(L40="olej opałowy",R40*'Założenia,wskaźniki, listy'!$G$45,IF(L40="sieć ciepłownicza",0,IF(L40="prąd",0,0)))))))</f>
        <v>2.1149999999999999E-2</v>
      </c>
      <c r="V40" s="639">
        <f>IF(L40="węgiel",R40*'Założenia,wskaźniki, listy'!$C$46,IF(L40="gaz",R40*'Założenia,wskaźniki, listy'!$D$46,IF(L40="drewno",R40*'Założenia,wskaźniki, listy'!$E$46,IF(L40="pelet",R40*'Założenia,wskaźniki, listy'!$F$46,IF(L40="olej opałowy",R40*'Założenia,wskaźniki, listy'!$G$46,IF(L40="sieć ciepłownicza",R40*'Założenia,wskaźniki, listy'!$H$46,IF(L40="prąd",R40*'Założenia,wskaźniki, listy'!$I$46,0)))))))</f>
        <v>0</v>
      </c>
      <c r="W40" s="639">
        <f>IF(L40="węgiel",R40*'Założenia,wskaźniki, listy'!$C$47,IF(L40="gaz",R40*'Założenia,wskaźniki, listy'!$D$47,IF(L40="drewno",R40*'Założenia,wskaźniki, listy'!$E$47,IF(L40="pelet",R40*'Założenia,wskaźniki, listy'!$F$47,IF(L40="olej opałowy",R40*'Założenia,wskaźniki, listy'!$G$47,IF(L40="sieć ciepłownicza",0,IF(L40="prąd",0,0)))))))</f>
        <v>5.4450000000000004E-6</v>
      </c>
      <c r="X40" s="639">
        <f>IF(L40="węgiel",R40*'Założenia,wskaźniki, listy'!$C$48, IF(L40="gaz",R40*'Założenia,wskaźniki, listy'!$D$48,IF(L40="drewno",R40*'Założenia,wskaźniki, listy'!$E$48,IF(L40="pelet",R40*'Założenia,wskaźniki, listy'!$F$48,IF(L40="olej opałowy",R40*'Założenia,wskaźniki, listy'!$G$48,IF(L40="sieć ciepłownicza",0,IF(L40="prąd",0,0)))))))</f>
        <v>4.95E-4</v>
      </c>
      <c r="Y40" s="639">
        <f>IF(L40="węgiel",R40*'Założenia,wskaźniki, listy'!$C$49, IF(L40="gaz",R40*'Założenia,wskaźniki, listy'!$D$49, IF(L40="drewno",R40*'Założenia,wskaźniki, listy'!$E$49,IF(L40="pelet",R40*'Założenia,wskaźniki, listy'!$F$49,IF(L40="olej opałowy",R40*'Założenia,wskaźniki, listy'!$G$49,IF(L40="sieć ciepłownicza",0,IF(L40="prąd",0,0)))))))</f>
        <v>3.6000000000000003E-3</v>
      </c>
      <c r="Z40" s="639">
        <f>IF(L40="węgiel",R40*'Założenia,wskaźniki, listy'!$C$50,IF(L40="gaz",R40*'Założenia,wskaźniki, listy'!$D$50, IF(L40="drewno",R40*'Założenia,wskaźniki, listy'!$E$50,IF(L40="pelet",R40*'Założenia,wskaźniki, listy'!$F$50,IF(L40="pelet",R40*'Założenia,wskaźniki, listy'!$F$50,IF(L40="olej opałowy",R40*'Założenia,wskaźniki, listy'!$G$50,IF(L40="sieć ciepłownicza",0,IF(L40="prąd",0,0))))))))</f>
        <v>8.0730000000000003E-3</v>
      </c>
      <c r="AA40" s="639">
        <f>IF(N40="węgiel",Q40*'Założenia,wskaźniki, listy'!$C$44,IF(N40="gaz",Q40*'Założenia,wskaźniki, listy'!$D$44,IF(N40="drewno",Q40*'Założenia,wskaźniki, listy'!$E$44,IF(N40="pelet",Q40*'Założenia,wskaźniki, listy'!$G$44,IF(N40="olej opałowy",Q40*'Założenia,wskaźniki, listy'!$G$44,IF(N40="sieć ciepłownicza",0,IF(N40="prąd",0,0)))))))</f>
        <v>0</v>
      </c>
      <c r="AB40" s="639">
        <f>IF(N40="węgiel",Q40*'Założenia,wskaźniki, listy'!$C$45,IF(N40="gaz",Q40*'Założenia,wskaźniki, listy'!$D$45,IF(N40="drewno",Q40*'Założenia,wskaźniki, listy'!$E$45,IF(N40="pelet",Q40*'Założenia,wskaźniki, listy'!$G$45,IF(N40="olej opałowy",Q40*'Założenia,wskaźniki, listy'!$G$45,IF(N40="sieć ciepłownicza",0,IF(N40="prąd",0,0)))))))</f>
        <v>0</v>
      </c>
      <c r="AC40" s="639">
        <f>IF(N40="węgiel",Q40*'Założenia,wskaźniki, listy'!$C$46,IF(N40="gaz",Q40*'Założenia,wskaźniki, listy'!$D$46,IF(N40="drewno",Q40*'Założenia,wskaźniki, listy'!$E$46,IF(N40="pelet",Q40*'Założenia,wskaźniki, listy'!$G$46,IF(N40="olej opałowy",Q40*'Założenia,wskaźniki, listy'!$G$46,IF(N40="sieć ciepłownicza",0,IF(N40="prąd",0,0)))))))</f>
        <v>0</v>
      </c>
      <c r="AD40" s="639">
        <f>IF(N40="węgiel",Q40*'Założenia,wskaźniki, listy'!$C$47,IF(N40="gaz",Q40*'Założenia,wskaźniki, listy'!$D$47,IF(N40="drewno",Q40*'Założenia,wskaźniki, listy'!$E$47,IF(N40="pelet",Q40*'Założenia,wskaźniki, listy'!$G$47,IF(N40="olej opałowy",Q40*'Założenia,wskaźniki, listy'!$G$47,IF(N40="sieć ciepłownicza",0,IF(N40="prąd",0,0)))))))</f>
        <v>0</v>
      </c>
      <c r="AE40" s="639">
        <f>IF(N40="węgiel",Q40*'Założenia,wskaźniki, listy'!$C$48,IF(N40="gaz",Q40*'Założenia,wskaźniki, listy'!$D$48,IF(N40="drewno",Q40*'Założenia,wskaźniki, listy'!$E$48,IF(N40="pelet",Q40*'Założenia,wskaźniki, listy'!$G$48,IF(N40="olej opałowy",Q40*'Założenia,wskaźniki, listy'!$G$48,IF(N40="sieć ciepłownicza",0,IF(N40="prąd",0,0)))))))</f>
        <v>0</v>
      </c>
      <c r="AF40" s="639">
        <f>IF(N40="węgiel",Q40*'Założenia,wskaźniki, listy'!$C$49,IF(N40="gaz",Q40*'Założenia,wskaźniki, listy'!$D$49,IF(N40="drewno",Q40*'Założenia,wskaźniki, listy'!$E$49,IF(N40="pelet",Q40*'Założenia,wskaźniki, listy'!$G$49,IF(N40="olej opałowy",Q40*'Założenia,wskaźniki, listy'!$G$49,IF(N40="sieć ciepłownicza",0,IF(N40="prąd",0,0)))))))</f>
        <v>0</v>
      </c>
      <c r="AG40" s="639">
        <f>IF(N40="węgiel",Q40*'Założenia,wskaźniki, listy'!$C$50,IF(N40="gaz",Q40*'Założenia,wskaźniki, listy'!$D$50,IF(N40="drewno",Q40*'Założenia,wskaźniki, listy'!$E$50,IF(N40="pelet",Q40*'Założenia,wskaźniki, listy'!$G$50,IF(N40="olej opałowy",Q40*'Założenia,wskaźniki, listy'!$G$50,IF(N40="sieć ciepłownicza",0,IF(N40="prąd",0,0)))))))</f>
        <v>0</v>
      </c>
      <c r="AH40" s="640">
        <f>IF(L40="węgiel",(P40+R40)/2*'Założenia,wskaźniki, listy'!$C$4,IF(L40="gaz",(P40+R40)/2*'Założenia,wskaźniki, listy'!$C$5,IF(L40="drewno",(P40+R40)/2*'Założenia,wskaźniki, listy'!$C$6,IF(L40="pelet",(P40+R40)/2*'Założenia,wskaźniki, listy'!$C$7,IF(L40="olej opałowy",(P40+R40)/2*'Założenia,wskaźniki, listy'!$C$8,IF(L40="sieć ciepłownicza",(P40+R40)/2*'Założenia,wskaźniki, listy'!$C$9,IF(L40="sieć ciepłownicza",(P40+R40)/2*'Założenia,wskaźniki, listy'!$C$10,)))))))</f>
        <v>855</v>
      </c>
      <c r="AI40" s="640">
        <f>IF(N40="węgiel",Q40*'Założenia,wskaźniki, listy'!$C$4,IF(N40="gaz",Q40*'Założenia,wskaźniki, listy'!$C$5,IF(N40="drewno",Q40*'Założenia,wskaźniki, listy'!$C$6,IF(N40="pelet",Q40*'Założenia,wskaźniki, listy'!$C$7,IF(N40="olej opałowy",Q40*'Założenia,wskaźniki, listy'!$C$8,IF(N40="sieć ciepłownicza",Q40*'Założenia,wskaźniki, listy'!$C$9,IF(N40="sieć ciepłownicza",Q40*'Założenia,wskaźniki, listy'!$C$10,0)))))))</f>
        <v>0</v>
      </c>
      <c r="AJ40" s="640">
        <f>S40*'Założenia,wskaźniki, listy'!$B$64*1000</f>
        <v>0</v>
      </c>
      <c r="AK40" s="640">
        <f>(H40+I40)*'Założenia,wskaźniki, listy'!$D$64*12</f>
        <v>0</v>
      </c>
      <c r="AL40" s="640">
        <f>AK40*'Założenia,wskaźniki, listy'!$F$64</f>
        <v>0</v>
      </c>
      <c r="AM40" s="639">
        <f t="shared" ref="AM40" si="109">T40+AA40</f>
        <v>2.1600000000000001E-2</v>
      </c>
      <c r="AN40" s="639">
        <f t="shared" ref="AN40" si="110">U40+AB40</f>
        <v>2.1149999999999999E-2</v>
      </c>
      <c r="AO40" s="639">
        <f>V40+AC40+S40*'Założenia,wskaźniki, listy'!$J$46</f>
        <v>0</v>
      </c>
      <c r="AP40" s="639">
        <f t="shared" ref="AP40" si="111">W40+AD40</f>
        <v>5.4450000000000004E-6</v>
      </c>
      <c r="AQ40" s="639">
        <f t="shared" ref="AQ40" si="112">X40+AE40</f>
        <v>4.95E-4</v>
      </c>
      <c r="AR40" s="639">
        <f t="shared" ref="AR40" si="113">Y40+AF40</f>
        <v>3.6000000000000003E-3</v>
      </c>
      <c r="AS40" s="639">
        <f t="shared" ref="AS40" si="114">Z40+AG40</f>
        <v>8.0730000000000003E-3</v>
      </c>
      <c r="AT40" s="647"/>
      <c r="AU40" s="647"/>
      <c r="AV40" s="624">
        <f t="shared" si="1"/>
        <v>0</v>
      </c>
      <c r="AW40" s="624" t="b">
        <f t="shared" si="2"/>
        <v>0</v>
      </c>
      <c r="AX40" s="624" t="b">
        <f t="shared" si="3"/>
        <v>0</v>
      </c>
      <c r="AY40" s="624" t="b">
        <f t="shared" si="4"/>
        <v>0</v>
      </c>
      <c r="AZ40" s="624" t="b">
        <f t="shared" si="5"/>
        <v>0</v>
      </c>
      <c r="BA40" s="624" t="b">
        <f t="shared" si="6"/>
        <v>0</v>
      </c>
      <c r="BB40" s="624" t="b">
        <f t="shared" si="7"/>
        <v>0</v>
      </c>
      <c r="BC40" s="624" t="b">
        <f t="shared" si="8"/>
        <v>0</v>
      </c>
      <c r="BD40" s="624" t="b">
        <f t="shared" si="9"/>
        <v>0</v>
      </c>
      <c r="BE40" s="624" t="b">
        <f t="shared" si="10"/>
        <v>0</v>
      </c>
      <c r="BF40" s="624" t="b">
        <f t="shared" si="11"/>
        <v>0</v>
      </c>
      <c r="BG40" s="624" t="b">
        <f t="shared" si="12"/>
        <v>0</v>
      </c>
      <c r="BH40" s="624">
        <f t="shared" si="13"/>
        <v>45</v>
      </c>
      <c r="BI40" s="624" t="b">
        <f t="shared" si="14"/>
        <v>0</v>
      </c>
      <c r="BJ40" s="624" t="b">
        <f t="shared" si="15"/>
        <v>0</v>
      </c>
      <c r="BK40" s="624" t="b">
        <f t="shared" si="16"/>
        <v>0</v>
      </c>
      <c r="BL40" s="624" t="b">
        <f t="shared" si="17"/>
        <v>0</v>
      </c>
      <c r="BM40" s="624" t="b">
        <f t="shared" si="18"/>
        <v>0</v>
      </c>
      <c r="BN40" s="624" t="b">
        <f t="shared" si="19"/>
        <v>0</v>
      </c>
      <c r="BO40" s="624" t="b">
        <f t="shared" si="20"/>
        <v>0</v>
      </c>
      <c r="BP40" s="624" t="b">
        <f t="shared" si="21"/>
        <v>0</v>
      </c>
      <c r="BQ40" s="624" t="b">
        <f t="shared" si="22"/>
        <v>0</v>
      </c>
    </row>
    <row r="41" spans="1:69">
      <c r="A41" s="1086">
        <v>19</v>
      </c>
      <c r="B41" s="872" t="s">
        <v>21</v>
      </c>
      <c r="C41" s="873" t="s">
        <v>621</v>
      </c>
      <c r="D41" s="636" t="s">
        <v>622</v>
      </c>
      <c r="E41" s="645">
        <v>8</v>
      </c>
      <c r="F41" s="644">
        <v>1996</v>
      </c>
      <c r="G41" s="644">
        <v>260</v>
      </c>
      <c r="H41" s="644"/>
      <c r="I41" s="635"/>
      <c r="J41" s="644">
        <f>IF(F41&lt;=1966,'Założenia,wskaźniki, listy'!$H$4,IF(F41&gt;1966,IF(F41&lt;=1985,'Założenia,wskaźniki, listy'!$H$5,IF(F41&gt;1985,IF(F41&lt;=1992,'Założenia,wskaźniki, listy'!$H$6,IF(F41&gt;1992,IF(F41&lt;=1996,'Założenia,wskaźniki, listy'!$H$7,IF(F41&gt;1996,IF(F41&lt;=2013,'Założenia,wskaźniki, listy'!$H$8)))))))))</f>
        <v>130</v>
      </c>
      <c r="K41" s="864" t="s">
        <v>33</v>
      </c>
      <c r="L41" s="644" t="s">
        <v>79</v>
      </c>
      <c r="M41" s="644">
        <v>2</v>
      </c>
      <c r="N41" s="644"/>
      <c r="O41" s="637">
        <f t="shared" si="23"/>
        <v>63.671999999999997</v>
      </c>
      <c r="P41" s="646">
        <f>IF(K41="kompletna",J41*G41*0.0036*'Założenia,wskaźniki, listy'!$P$9,IF(K41="częściowa",J41*G41*0.0036*'Założenia,wskaźniki, listy'!$P$10,IF(K41="brak",J41*G41*0.0036*'Założenia,wskaźniki, listy'!$P$11,0)))</f>
        <v>97.343999999999994</v>
      </c>
      <c r="Q41" s="638">
        <f>H41*'Założenia,wskaźniki, listy'!$L$15</f>
        <v>0</v>
      </c>
      <c r="R41" s="635">
        <f>IF(L41="węgiel",'Mieszkalne - baza'!M41*'Założenia,wskaźniki, listy'!$B$4,IF(L41="gaz",'Mieszkalne - baza'!M41*'Założenia,wskaźniki, listy'!$B$5,IF(L41="drewno",'Mieszkalne - baza'!M41*'Założenia,wskaźniki, listy'!$B$6,IF(L41="pelet",'Mieszkalne - baza'!M41*'Założenia,wskaźniki, listy'!$B$7,IF(L41="olej opałowy",'Mieszkalne - baza'!M41*'Założenia,wskaźniki, listy'!$B$8,IF(L41="sieć ciepłownicza",0,0))))))</f>
        <v>30</v>
      </c>
      <c r="S41" s="1084">
        <v>1.6919999999999999</v>
      </c>
      <c r="T41" s="639">
        <f>IF(L41="węgiel",R41*'Założenia,wskaźniki, listy'!$C$44,IF(L41="gaz",R41*'Założenia,wskaźniki, listy'!$D$44,IF(L41="drewno",R41*'Założenia,wskaźniki, listy'!$E$44,IF(L41="pelet",R41*'Założenia,wskaźniki, listy'!$F$44,IF(L41="olej opałowy",R41*'Założenia,wskaźniki, listy'!$G$44,IF(L41="sieć ciepłownicza",0,IF(L41="prąd",0,0)))))))</f>
        <v>1.44E-2</v>
      </c>
      <c r="U41" s="639">
        <f>IF(L41="węgiel",R41*'Założenia,wskaźniki, listy'!$C$45,IF(L41="gaz",R41*'Założenia,wskaźniki, listy'!$D$45,IF(L41="drewno",R41*'Założenia,wskaźniki, listy'!$E$45,IF(L41="pelet",R41*'Założenia,wskaźniki, listy'!$F$45,IF(L41="olej opałowy",R41*'Założenia,wskaźniki, listy'!$G$45,IF(L41="sieć ciepłownicza",0,IF(L41="prąd",0,0)))))))</f>
        <v>1.41E-2</v>
      </c>
      <c r="V41" s="639">
        <f>IF(L41="węgiel",R41*'Założenia,wskaźniki, listy'!$C$46,IF(L41="gaz",R41*'Założenia,wskaźniki, listy'!$D$46,IF(L41="drewno",R41*'Założenia,wskaźniki, listy'!$E$46,IF(L41="pelet",R41*'Założenia,wskaźniki, listy'!$F$46,IF(L41="olej opałowy",R41*'Założenia,wskaźniki, listy'!$G$46,IF(L41="sieć ciepłownicza",R41*'Założenia,wskaźniki, listy'!$H$46,IF(L41="prąd",R41*'Założenia,wskaźniki, listy'!$I$46,0)))))))</f>
        <v>0</v>
      </c>
      <c r="W41" s="639">
        <f>IF(L41="węgiel",R41*'Założenia,wskaźniki, listy'!$C$47,IF(L41="gaz",R41*'Założenia,wskaźniki, listy'!$D$47,IF(L41="drewno",R41*'Założenia,wskaźniki, listy'!$E$47,IF(L41="pelet",R41*'Założenia,wskaźniki, listy'!$F$47,IF(L41="olej opałowy",R41*'Założenia,wskaźniki, listy'!$G$47,IF(L41="sieć ciepłownicza",0,IF(L41="prąd",0,0)))))))</f>
        <v>3.6300000000000004E-6</v>
      </c>
      <c r="X41" s="639">
        <f>IF(L41="węgiel",R41*'Założenia,wskaźniki, listy'!$C$48, IF(L41="gaz",R41*'Założenia,wskaźniki, listy'!$D$48,IF(L41="drewno",R41*'Założenia,wskaźniki, listy'!$E$48,IF(L41="pelet",R41*'Założenia,wskaźniki, listy'!$F$48,IF(L41="olej opałowy",R41*'Założenia,wskaźniki, listy'!$G$48,IF(L41="sieć ciepłownicza",0,IF(L41="prąd",0,0)))))))</f>
        <v>3.3E-4</v>
      </c>
      <c r="Y41" s="639">
        <f>IF(L41="węgiel",R41*'Założenia,wskaźniki, listy'!$C$49, IF(L41="gaz",R41*'Założenia,wskaźniki, listy'!$D$49, IF(L41="drewno",R41*'Założenia,wskaźniki, listy'!$E$49,IF(L41="pelet",R41*'Założenia,wskaźniki, listy'!$F$49,IF(L41="olej opałowy",R41*'Założenia,wskaźniki, listy'!$G$49,IF(L41="sieć ciepłownicza",0,IF(L41="prąd",0,0)))))))</f>
        <v>2.4000000000000002E-3</v>
      </c>
      <c r="Z41" s="639">
        <f>IF(L41="węgiel",R41*'Założenia,wskaźniki, listy'!$C$50,IF(L41="gaz",R41*'Założenia,wskaźniki, listy'!$D$50, IF(L41="drewno",R41*'Założenia,wskaźniki, listy'!$E$50,IF(L41="pelet",R41*'Założenia,wskaźniki, listy'!$F$50,IF(L41="pelet",R41*'Założenia,wskaźniki, listy'!$F$50,IF(L41="olej opałowy",R41*'Założenia,wskaźniki, listy'!$G$50,IF(L41="sieć ciepłownicza",0,IF(L41="prąd",0,0))))))))</f>
        <v>5.3819999999999996E-3</v>
      </c>
      <c r="AA41" s="639">
        <f>IF(N41="węgiel",Q41*'Założenia,wskaźniki, listy'!$C$44,IF(N41="gaz",Q41*'Założenia,wskaźniki, listy'!$D$44,IF(N41="drewno",Q41*'Założenia,wskaźniki, listy'!$E$44,IF(N41="pelet",Q41*'Założenia,wskaźniki, listy'!$G$44,IF(N41="olej opałowy",Q41*'Założenia,wskaźniki, listy'!$G$44,IF(N41="sieć ciepłownicza",0,IF(N41="prąd",0,0)))))))</f>
        <v>0</v>
      </c>
      <c r="AB41" s="639">
        <f>IF(N41="węgiel",Q41*'Założenia,wskaźniki, listy'!$C$45,IF(N41="gaz",Q41*'Założenia,wskaźniki, listy'!$D$45,IF(N41="drewno",Q41*'Założenia,wskaźniki, listy'!$E$45,IF(N41="pelet",Q41*'Założenia,wskaźniki, listy'!$G$45,IF(N41="olej opałowy",Q41*'Założenia,wskaźniki, listy'!$G$45,IF(N41="sieć ciepłownicza",0,IF(N41="prąd",0,0)))))))</f>
        <v>0</v>
      </c>
      <c r="AC41" s="639">
        <f>IF(N41="węgiel",Q41*'Założenia,wskaźniki, listy'!$C$46,IF(N41="gaz",Q41*'Założenia,wskaźniki, listy'!$D$46,IF(N41="drewno",Q41*'Założenia,wskaźniki, listy'!$E$46,IF(N41="pelet",Q41*'Założenia,wskaźniki, listy'!$G$46,IF(N41="olej opałowy",Q41*'Założenia,wskaźniki, listy'!$G$46,IF(N41="sieć ciepłownicza",0,IF(N41="prąd",0,0)))))))</f>
        <v>0</v>
      </c>
      <c r="AD41" s="639">
        <f>IF(N41="węgiel",Q41*'Założenia,wskaźniki, listy'!$C$47,IF(N41="gaz",Q41*'Założenia,wskaźniki, listy'!$D$47,IF(N41="drewno",Q41*'Założenia,wskaźniki, listy'!$E$47,IF(N41="pelet",Q41*'Założenia,wskaźniki, listy'!$G$47,IF(N41="olej opałowy",Q41*'Założenia,wskaźniki, listy'!$G$47,IF(N41="sieć ciepłownicza",0,IF(N41="prąd",0,0)))))))</f>
        <v>0</v>
      </c>
      <c r="AE41" s="639">
        <f>IF(N41="węgiel",Q41*'Założenia,wskaźniki, listy'!$C$48,IF(N41="gaz",Q41*'Założenia,wskaźniki, listy'!$D$48,IF(N41="drewno",Q41*'Założenia,wskaźniki, listy'!$E$48,IF(N41="pelet",Q41*'Założenia,wskaźniki, listy'!$G$48,IF(N41="olej opałowy",Q41*'Założenia,wskaźniki, listy'!$G$48,IF(N41="sieć ciepłownicza",0,IF(N41="prąd",0,0)))))))</f>
        <v>0</v>
      </c>
      <c r="AF41" s="639">
        <f>IF(N41="węgiel",Q41*'Założenia,wskaźniki, listy'!$C$49,IF(N41="gaz",Q41*'Założenia,wskaźniki, listy'!$D$49,IF(N41="drewno",Q41*'Założenia,wskaźniki, listy'!$E$49,IF(N41="pelet",Q41*'Założenia,wskaźniki, listy'!$G$49,IF(N41="olej opałowy",Q41*'Założenia,wskaźniki, listy'!$G$49,IF(N41="sieć ciepłownicza",0,IF(N41="prąd",0,0)))))))</f>
        <v>0</v>
      </c>
      <c r="AG41" s="639">
        <f>IF(N41="węgiel",Q41*'Założenia,wskaźniki, listy'!$C$50,IF(N41="gaz",Q41*'Założenia,wskaźniki, listy'!$D$50,IF(N41="drewno",Q41*'Założenia,wskaźniki, listy'!$E$50,IF(N41="pelet",Q41*'Założenia,wskaźniki, listy'!$G$50,IF(N41="olej opałowy",Q41*'Założenia,wskaźniki, listy'!$G$50,IF(N41="sieć ciepłownicza",0,IF(N41="prąd",0,0)))))))</f>
        <v>0</v>
      </c>
      <c r="AH41" s="640">
        <f>IF(L41="węgiel",(P41+R41)/2*'Założenia,wskaźniki, listy'!$C$4,IF(L41="gaz",(P41+R41)/2*'Założenia,wskaźniki, listy'!$C$5,IF(L41="drewno",(P41+R41)/2*'Założenia,wskaźniki, listy'!$C$6,IF(L41="pelet",(P41+R41)/2*'Założenia,wskaźniki, listy'!$C$7,IF(L41="olej opałowy",(P41+R41)/2*'Założenia,wskaźniki, listy'!$C$8,IF(L41="sieć ciepłownicza",(P41+R41)/2*'Założenia,wskaźniki, listy'!$C$9,IF(L41="sieć ciepłownicza",(P41+R41)/2*'Założenia,wskaźniki, listy'!$C$10,)))))))</f>
        <v>2419.5360000000001</v>
      </c>
      <c r="AI41" s="640">
        <f>IF(N41="węgiel",Q41*'Założenia,wskaźniki, listy'!$C$4,IF(N41="gaz",Q41*'Założenia,wskaźniki, listy'!$C$5,IF(N41="drewno",Q41*'Założenia,wskaźniki, listy'!$C$6,IF(N41="pelet",Q41*'Założenia,wskaźniki, listy'!$C$7,IF(N41="olej opałowy",Q41*'Założenia,wskaźniki, listy'!$C$8,IF(N41="sieć ciepłownicza",Q41*'Założenia,wskaźniki, listy'!$C$9,IF(N41="sieć ciepłownicza",Q41*'Założenia,wskaźniki, listy'!$C$10,0)))))))</f>
        <v>0</v>
      </c>
      <c r="AJ41" s="640">
        <f>S41*'Założenia,wskaźniki, listy'!$B$64*1000</f>
        <v>1201.32</v>
      </c>
      <c r="AK41" s="640">
        <f>(H41+I41)*'Założenia,wskaźniki, listy'!$D$64*12</f>
        <v>0</v>
      </c>
      <c r="AL41" s="640">
        <f>AK41*'Założenia,wskaźniki, listy'!$F$64</f>
        <v>0</v>
      </c>
      <c r="AM41" s="639">
        <f t="shared" si="95"/>
        <v>1.44E-2</v>
      </c>
      <c r="AN41" s="639">
        <f t="shared" si="96"/>
        <v>1.41E-2</v>
      </c>
      <c r="AO41" s="639">
        <f>V41+AC41+S41*'Założenia,wskaźniki, listy'!$J$46</f>
        <v>1.406898</v>
      </c>
      <c r="AP41" s="639">
        <f t="shared" si="97"/>
        <v>3.6300000000000004E-6</v>
      </c>
      <c r="AQ41" s="639">
        <f t="shared" si="98"/>
        <v>3.3E-4</v>
      </c>
      <c r="AR41" s="639">
        <f t="shared" si="99"/>
        <v>2.4000000000000002E-3</v>
      </c>
      <c r="AS41" s="639">
        <f t="shared" si="100"/>
        <v>5.3819999999999996E-3</v>
      </c>
      <c r="AT41" s="647"/>
      <c r="AU41" s="647"/>
      <c r="AV41" s="624" t="b">
        <f t="shared" si="1"/>
        <v>0</v>
      </c>
      <c r="AW41" s="624">
        <f t="shared" si="2"/>
        <v>0</v>
      </c>
      <c r="AX41" s="624" t="b">
        <f t="shared" si="3"/>
        <v>0</v>
      </c>
      <c r="AY41" s="624">
        <f t="shared" si="4"/>
        <v>0</v>
      </c>
      <c r="AZ41" s="624" t="b">
        <f t="shared" si="5"/>
        <v>0</v>
      </c>
      <c r="BA41" s="624">
        <f t="shared" si="6"/>
        <v>0</v>
      </c>
      <c r="BB41" s="624">
        <f t="shared" si="7"/>
        <v>260</v>
      </c>
      <c r="BC41" s="624">
        <f t="shared" si="8"/>
        <v>130</v>
      </c>
      <c r="BD41" s="624" t="b">
        <f t="shared" si="9"/>
        <v>0</v>
      </c>
      <c r="BE41" s="624">
        <f t="shared" si="10"/>
        <v>0</v>
      </c>
      <c r="BF41" s="624" t="b">
        <f t="shared" si="11"/>
        <v>0</v>
      </c>
      <c r="BG41" s="624" t="b">
        <f t="shared" si="12"/>
        <v>0</v>
      </c>
      <c r="BH41" s="624">
        <f t="shared" si="13"/>
        <v>30</v>
      </c>
      <c r="BI41" s="624" t="b">
        <f t="shared" si="14"/>
        <v>0</v>
      </c>
      <c r="BJ41" s="624" t="b">
        <f t="shared" si="15"/>
        <v>0</v>
      </c>
      <c r="BK41" s="624" t="b">
        <f t="shared" si="16"/>
        <v>0</v>
      </c>
      <c r="BL41" s="624" t="b">
        <f t="shared" si="17"/>
        <v>0</v>
      </c>
      <c r="BM41" s="624" t="b">
        <f t="shared" si="18"/>
        <v>0</v>
      </c>
      <c r="BN41" s="624" t="b">
        <f t="shared" si="19"/>
        <v>0</v>
      </c>
      <c r="BO41" s="624" t="b">
        <f t="shared" si="20"/>
        <v>0</v>
      </c>
      <c r="BP41" s="624" t="b">
        <f t="shared" si="21"/>
        <v>0</v>
      </c>
      <c r="BQ41" s="624" t="b">
        <f t="shared" si="22"/>
        <v>0</v>
      </c>
    </row>
    <row r="42" spans="1:69">
      <c r="A42" s="1086"/>
      <c r="B42" s="872"/>
      <c r="C42" s="872"/>
      <c r="D42" s="645"/>
      <c r="E42" s="645"/>
      <c r="F42" s="644"/>
      <c r="G42" s="644"/>
      <c r="H42" s="644"/>
      <c r="I42" s="635"/>
      <c r="J42" s="644">
        <f>IF(F42&lt;=1966,'Założenia,wskaźniki, listy'!$H$4,IF(F42&gt;1966,IF(F42&lt;=1985,'Założenia,wskaźniki, listy'!$H$5,IF(F42&gt;1985,IF(F42&lt;=1992,'Założenia,wskaźniki, listy'!$H$6,IF(F42&gt;1992,IF(F42&lt;=1996,'Założenia,wskaźniki, listy'!$H$7,IF(F42&gt;1996,IF(F42&lt;=2013,'Założenia,wskaźniki, listy'!$H$8)))))))))</f>
        <v>290</v>
      </c>
      <c r="K42" s="872"/>
      <c r="L42" s="644" t="s">
        <v>8</v>
      </c>
      <c r="M42" s="644">
        <v>3</v>
      </c>
      <c r="N42" s="644"/>
      <c r="O42" s="637">
        <f t="shared" ref="O42" si="115">IF(P42&gt;0,(Q42+R42+P42)/2,Q42+R42)</f>
        <v>67.83</v>
      </c>
      <c r="P42" s="646">
        <f>IF(K42="kompletna",J42*G42*0.0036*'Założenia,wskaźniki, listy'!$P$9,IF(K42="częściowa",J42*G42*0.0036*'Założenia,wskaźniki, listy'!$P$10,IF(K42="brak",J42*G42*0.0036*'Założenia,wskaźniki, listy'!$P$11,0)))</f>
        <v>0</v>
      </c>
      <c r="Q42" s="638">
        <f>H42*'Założenia,wskaźniki, listy'!$L$15</f>
        <v>0</v>
      </c>
      <c r="R42" s="635">
        <f>IF(L42="węgiel",'Mieszkalne - baza'!M42*'Założenia,wskaźniki, listy'!$B$4,IF(L42="gaz",'Mieszkalne - baza'!M42*'Założenia,wskaźniki, listy'!$B$5,IF(L42="drewno",'Mieszkalne - baza'!M42*'Założenia,wskaźniki, listy'!$B$6,IF(L42="pelet",'Mieszkalne - baza'!M42*'Założenia,wskaźniki, listy'!$B$7,IF(L42="olej opałowy",'Mieszkalne - baza'!M42*'Założenia,wskaźniki, listy'!$B$8,IF(L42="sieć ciepłownicza",0,0))))))</f>
        <v>67.83</v>
      </c>
      <c r="S42" s="1085"/>
      <c r="T42" s="639">
        <f>IF(L42="węgiel",R42*'Założenia,wskaźniki, listy'!$C$44,IF(L42="gaz",R42*'Założenia,wskaźniki, listy'!$D$44,IF(L42="drewno",R42*'Założenia,wskaźniki, listy'!$E$44,IF(L42="pelet",R42*'Założenia,wskaźniki, listy'!$F$44,IF(L42="olej opałowy",R42*'Założenia,wskaźniki, listy'!$G$44,IF(L42="sieć ciepłownicza",0,IF(L42="prąd",0,0)))))))</f>
        <v>1.5261749999999999E-2</v>
      </c>
      <c r="U42" s="639">
        <f>IF(L42="węgiel",R42*'Założenia,wskaźniki, listy'!$C$45,IF(L42="gaz",R42*'Założenia,wskaźniki, listy'!$D$45,IF(L42="drewno",R42*'Założenia,wskaźniki, listy'!$E$45,IF(L42="pelet",R42*'Założenia,wskaźniki, listy'!$F$45,IF(L42="olej opałowy",R42*'Założenia,wskaźniki, listy'!$G$45,IF(L42="sieć ciepłownicza",0,IF(L42="prąd",0,0)))))))</f>
        <v>1.363383E-2</v>
      </c>
      <c r="V42" s="639">
        <f>IF(L42="węgiel",R42*'Założenia,wskaźniki, listy'!$C$46,IF(L42="gaz",R42*'Założenia,wskaźniki, listy'!$D$46,IF(L42="drewno",R42*'Założenia,wskaźniki, listy'!$E$46,IF(L42="pelet",R42*'Założenia,wskaźniki, listy'!$F$46,IF(L42="olej opałowy",R42*'Założenia,wskaźniki, listy'!$G$46,IF(L42="sieć ciepłownicza",R42*'Założenia,wskaźniki, listy'!$H$46,IF(L42="prąd",R42*'Założenia,wskaźniki, listy'!$I$46,0)))))))</f>
        <v>6.3583841999999988</v>
      </c>
      <c r="W42" s="639">
        <f>IF(L42="węgiel",R42*'Założenia,wskaźniki, listy'!$C$47,IF(L42="gaz",R42*'Założenia,wskaźniki, listy'!$D$47,IF(L42="drewno",R42*'Założenia,wskaźniki, listy'!$E$47,IF(L42="pelet",R42*'Założenia,wskaźniki, listy'!$F$47,IF(L42="olej opałowy",R42*'Założenia,wskaźniki, listy'!$G$47,IF(L42="sieć ciepłownicza",0,IF(L42="prąd",0,0)))))))</f>
        <v>1.8314100000000001E-5</v>
      </c>
      <c r="X42" s="639">
        <f>IF(L42="węgiel",R42*'Założenia,wskaźniki, listy'!$C$48, IF(L42="gaz",R42*'Założenia,wskaźniki, listy'!$D$48,IF(L42="drewno",R42*'Założenia,wskaźniki, listy'!$E$48,IF(L42="pelet",R42*'Założenia,wskaźniki, listy'!$F$48,IF(L42="olej opałowy",R42*'Założenia,wskaźniki, listy'!$G$48,IF(L42="sieć ciepłownicza",0,IF(L42="prąd",0,0)))))))</f>
        <v>6.1046999999999997E-2</v>
      </c>
      <c r="Y42" s="639">
        <f>IF(L42="węgiel",R42*'Założenia,wskaźniki, listy'!$C$49, IF(L42="gaz",R42*'Założenia,wskaźniki, listy'!$D$49, IF(L42="drewno",R42*'Założenia,wskaźniki, listy'!$E$49,IF(L42="pelet",R42*'Założenia,wskaźniki, listy'!$F$49,IF(L42="olej opałowy",R42*'Założenia,wskaźniki, listy'!$G$49,IF(L42="sieć ciepłownicza",0,IF(L42="prąd",0,0)))))))</f>
        <v>1.071714E-2</v>
      </c>
      <c r="Z42" s="639">
        <f>IF(L42="węgiel",R42*'Założenia,wskaźniki, listy'!$C$50,IF(L42="gaz",R42*'Założenia,wskaźniki, listy'!$D$50, IF(L42="drewno",R42*'Założenia,wskaźniki, listy'!$E$50,IF(L42="pelet",R42*'Założenia,wskaźniki, listy'!$F$50,IF(L42="pelet",R42*'Założenia,wskaźniki, listy'!$F$50,IF(L42="olej opałowy",R42*'Założenia,wskaźniki, listy'!$G$50,IF(L42="sieć ciepłownicza",0,IF(L42="prąd",0,0))))))))</f>
        <v>0.13644836835046936</v>
      </c>
      <c r="AA42" s="639">
        <f>IF(N42="węgiel",Q42*'Założenia,wskaźniki, listy'!$C$44,IF(N42="gaz",Q42*'Założenia,wskaźniki, listy'!$D$44,IF(N42="drewno",Q42*'Założenia,wskaźniki, listy'!$E$44,IF(N42="pelet",Q42*'Założenia,wskaźniki, listy'!$G$44,IF(N42="olej opałowy",Q42*'Założenia,wskaźniki, listy'!$G$44,IF(N42="sieć ciepłownicza",0,IF(N42="prąd",0,0)))))))</f>
        <v>0</v>
      </c>
      <c r="AB42" s="639">
        <f>IF(N42="węgiel",Q42*'Założenia,wskaźniki, listy'!$C$45,IF(N42="gaz",Q42*'Założenia,wskaźniki, listy'!$D$45,IF(N42="drewno",Q42*'Założenia,wskaźniki, listy'!$E$45,IF(N42="pelet",Q42*'Założenia,wskaźniki, listy'!$G$45,IF(N42="olej opałowy",Q42*'Założenia,wskaźniki, listy'!$G$45,IF(N42="sieć ciepłownicza",0,IF(N42="prąd",0,0)))))))</f>
        <v>0</v>
      </c>
      <c r="AC42" s="639">
        <f>IF(N42="węgiel",Q42*'Założenia,wskaźniki, listy'!$C$46,IF(N42="gaz",Q42*'Założenia,wskaźniki, listy'!$D$46,IF(N42="drewno",Q42*'Założenia,wskaźniki, listy'!$E$46,IF(N42="pelet",Q42*'Założenia,wskaźniki, listy'!$G$46,IF(N42="olej opałowy",Q42*'Założenia,wskaźniki, listy'!$G$46,IF(N42="sieć ciepłownicza",0,IF(N42="prąd",0,0)))))))</f>
        <v>0</v>
      </c>
      <c r="AD42" s="639">
        <f>IF(N42="węgiel",Q42*'Założenia,wskaźniki, listy'!$C$47,IF(N42="gaz",Q42*'Założenia,wskaźniki, listy'!$D$47,IF(N42="drewno",Q42*'Założenia,wskaźniki, listy'!$E$47,IF(N42="pelet",Q42*'Założenia,wskaźniki, listy'!$G$47,IF(N42="olej opałowy",Q42*'Założenia,wskaźniki, listy'!$G$47,IF(N42="sieć ciepłownicza",0,IF(N42="prąd",0,0)))))))</f>
        <v>0</v>
      </c>
      <c r="AE42" s="639">
        <f>IF(N42="węgiel",Q42*'Założenia,wskaźniki, listy'!$C$48,IF(N42="gaz",Q42*'Założenia,wskaźniki, listy'!$D$48,IF(N42="drewno",Q42*'Założenia,wskaźniki, listy'!$E$48,IF(N42="pelet",Q42*'Założenia,wskaźniki, listy'!$G$48,IF(N42="olej opałowy",Q42*'Założenia,wskaźniki, listy'!$G$48,IF(N42="sieć ciepłownicza",0,IF(N42="prąd",0,0)))))))</f>
        <v>0</v>
      </c>
      <c r="AF42" s="639">
        <f>IF(N42="węgiel",Q42*'Założenia,wskaźniki, listy'!$C$49,IF(N42="gaz",Q42*'Założenia,wskaźniki, listy'!$D$49,IF(N42="drewno",Q42*'Założenia,wskaźniki, listy'!$E$49,IF(N42="pelet",Q42*'Założenia,wskaźniki, listy'!$G$49,IF(N42="olej opałowy",Q42*'Założenia,wskaźniki, listy'!$G$49,IF(N42="sieć ciepłownicza",0,IF(N42="prąd",0,0)))))))</f>
        <v>0</v>
      </c>
      <c r="AG42" s="639">
        <f>IF(N42="węgiel",Q42*'Założenia,wskaźniki, listy'!$C$50,IF(N42="gaz",Q42*'Założenia,wskaźniki, listy'!$D$50,IF(N42="drewno",Q42*'Założenia,wskaźniki, listy'!$E$50,IF(N42="pelet",Q42*'Założenia,wskaźniki, listy'!$G$50,IF(N42="olej opałowy",Q42*'Założenia,wskaźniki, listy'!$G$50,IF(N42="sieć ciepłownicza",0,IF(N42="prąd",0,0)))))))</f>
        <v>0</v>
      </c>
      <c r="AH42" s="640">
        <f>IF(L42="węgiel",(P42+R42)/2*'Założenia,wskaźniki, listy'!$C$4,IF(L42="gaz",(P42+R42)/2*'Założenia,wskaźniki, listy'!$C$5,IF(L42="drewno",(P42+R42)/2*'Założenia,wskaźniki, listy'!$C$6,IF(L42="pelet",(P42+R42)/2*'Założenia,wskaźniki, listy'!$C$7,IF(L42="olej opałowy",(P42+R42)/2*'Założenia,wskaźniki, listy'!$C$8,IF(L42="sieć ciepłownicza",(P42+R42)/2*'Założenia,wskaźniki, listy'!$C$9,IF(L42="sieć ciepłownicza",(P42+R42)/2*'Założenia,wskaźniki, listy'!$C$10,)))))))</f>
        <v>1390.5149999999999</v>
      </c>
      <c r="AI42" s="640">
        <f>IF(N42="węgiel",Q42*'Założenia,wskaźniki, listy'!$C$4,IF(N42="gaz",Q42*'Założenia,wskaźniki, listy'!$C$5,IF(N42="drewno",Q42*'Założenia,wskaźniki, listy'!$C$6,IF(N42="pelet",Q42*'Założenia,wskaźniki, listy'!$C$7,IF(N42="olej opałowy",Q42*'Założenia,wskaźniki, listy'!$C$8,IF(N42="sieć ciepłownicza",Q42*'Założenia,wskaźniki, listy'!$C$9,IF(N42="sieć ciepłownicza",Q42*'Założenia,wskaźniki, listy'!$C$10,0)))))))</f>
        <v>0</v>
      </c>
      <c r="AJ42" s="640">
        <f>S42*'Założenia,wskaźniki, listy'!$B$64*1000</f>
        <v>0</v>
      </c>
      <c r="AK42" s="640">
        <f>(H42+I42)*'Założenia,wskaźniki, listy'!$D$64*12</f>
        <v>0</v>
      </c>
      <c r="AL42" s="640">
        <f>AK42*'Założenia,wskaźniki, listy'!$F$64</f>
        <v>0</v>
      </c>
      <c r="AM42" s="639">
        <f t="shared" ref="AM42" si="116">T42+AA42</f>
        <v>1.5261749999999999E-2</v>
      </c>
      <c r="AN42" s="639">
        <f t="shared" ref="AN42" si="117">U42+AB42</f>
        <v>1.363383E-2</v>
      </c>
      <c r="AO42" s="639">
        <f>V42+AC42+S42*'Założenia,wskaźniki, listy'!$J$46</f>
        <v>6.3583841999999988</v>
      </c>
      <c r="AP42" s="639">
        <f t="shared" ref="AP42" si="118">W42+AD42</f>
        <v>1.8314100000000001E-5</v>
      </c>
      <c r="AQ42" s="639">
        <f t="shared" ref="AQ42" si="119">X42+AE42</f>
        <v>6.1046999999999997E-2</v>
      </c>
      <c r="AR42" s="639">
        <f t="shared" ref="AR42" si="120">Y42+AF42</f>
        <v>1.071714E-2</v>
      </c>
      <c r="AS42" s="639">
        <f t="shared" ref="AS42" si="121">Z42+AG42</f>
        <v>0.13644836835046936</v>
      </c>
      <c r="AT42" s="647"/>
      <c r="AU42" s="647"/>
      <c r="AV42" s="624">
        <f t="shared" si="1"/>
        <v>0</v>
      </c>
      <c r="AW42" s="624" t="b">
        <f t="shared" si="2"/>
        <v>0</v>
      </c>
      <c r="AX42" s="624" t="b">
        <f t="shared" si="3"/>
        <v>0</v>
      </c>
      <c r="AY42" s="624" t="b">
        <f t="shared" si="4"/>
        <v>0</v>
      </c>
      <c r="AZ42" s="624" t="b">
        <f t="shared" si="5"/>
        <v>0</v>
      </c>
      <c r="BA42" s="624" t="b">
        <f t="shared" si="6"/>
        <v>0</v>
      </c>
      <c r="BB42" s="624" t="b">
        <f t="shared" si="7"/>
        <v>0</v>
      </c>
      <c r="BC42" s="624" t="b">
        <f t="shared" si="8"/>
        <v>0</v>
      </c>
      <c r="BD42" s="624" t="b">
        <f t="shared" si="9"/>
        <v>0</v>
      </c>
      <c r="BE42" s="624" t="b">
        <f t="shared" si="10"/>
        <v>0</v>
      </c>
      <c r="BF42" s="624">
        <f t="shared" si="11"/>
        <v>67.83</v>
      </c>
      <c r="BG42" s="624" t="b">
        <f t="shared" si="12"/>
        <v>0</v>
      </c>
      <c r="BH42" s="624" t="b">
        <f t="shared" si="13"/>
        <v>0</v>
      </c>
      <c r="BI42" s="624" t="b">
        <f t="shared" si="14"/>
        <v>0</v>
      </c>
      <c r="BJ42" s="624" t="b">
        <f t="shared" si="15"/>
        <v>0</v>
      </c>
      <c r="BK42" s="624" t="b">
        <f t="shared" si="16"/>
        <v>0</v>
      </c>
      <c r="BL42" s="624" t="b">
        <f t="shared" si="17"/>
        <v>0</v>
      </c>
      <c r="BM42" s="624" t="b">
        <f t="shared" si="18"/>
        <v>0</v>
      </c>
      <c r="BN42" s="624" t="b">
        <f t="shared" si="19"/>
        <v>0</v>
      </c>
      <c r="BO42" s="624" t="b">
        <f t="shared" si="20"/>
        <v>0</v>
      </c>
      <c r="BP42" s="624" t="b">
        <f t="shared" si="21"/>
        <v>0</v>
      </c>
      <c r="BQ42" s="624" t="b">
        <f t="shared" si="22"/>
        <v>0</v>
      </c>
    </row>
    <row r="43" spans="1:69">
      <c r="A43" s="1086">
        <v>20</v>
      </c>
      <c r="B43" s="872" t="s">
        <v>21</v>
      </c>
      <c r="C43" s="873" t="s">
        <v>621</v>
      </c>
      <c r="D43" s="636" t="s">
        <v>622</v>
      </c>
      <c r="E43" s="645">
        <v>6</v>
      </c>
      <c r="F43" s="644">
        <v>1928</v>
      </c>
      <c r="G43" s="644">
        <v>60</v>
      </c>
      <c r="H43" s="644"/>
      <c r="I43" s="635"/>
      <c r="J43" s="644">
        <f>IF(F43&lt;=1966,'Założenia,wskaźniki, listy'!$H$4,IF(F43&gt;1966,IF(F43&lt;=1985,'Założenia,wskaźniki, listy'!$H$5,IF(F43&gt;1985,IF(F43&lt;=1992,'Założenia,wskaźniki, listy'!$H$6,IF(F43&gt;1992,IF(F43&lt;=1996,'Założenia,wskaźniki, listy'!$H$7,IF(F43&gt;1996,IF(F43&lt;=2015,'Założenia,wskaźniki, listy'!$H$8)))))))))</f>
        <v>290</v>
      </c>
      <c r="K43" s="864" t="s">
        <v>31</v>
      </c>
      <c r="L43" s="635" t="s">
        <v>8</v>
      </c>
      <c r="M43" s="635">
        <v>2.5</v>
      </c>
      <c r="N43" s="644"/>
      <c r="O43" s="637">
        <f t="shared" si="23"/>
        <v>59.582499999999996</v>
      </c>
      <c r="P43" s="646">
        <f>IF(K43="kompletna",J43*G43*0.0036*'Założenia,wskaźniki, listy'!$P$9,IF(K43="częściowa",J43*G43*0.0036*'Założenia,wskaźniki, listy'!$P$10,IF(K43="brak",J43*G43*0.0036*'Założenia,wskaźniki, listy'!$P$11,0)))</f>
        <v>62.64</v>
      </c>
      <c r="Q43" s="638">
        <f>H43*'Założenia,wskaźniki, listy'!$L$15</f>
        <v>0</v>
      </c>
      <c r="R43" s="635">
        <f>IF(L43="węgiel",'Mieszkalne - baza'!M43*'Założenia,wskaźniki, listy'!$B$4,IF(L43="gaz",'Mieszkalne - baza'!M43*'Założenia,wskaźniki, listy'!$B$5,IF(L43="drewno",'Mieszkalne - baza'!M43*'Założenia,wskaźniki, listy'!$B$6,IF(L43="pelet",'Mieszkalne - baza'!M43*'Założenia,wskaźniki, listy'!$B$7,IF(L43="olej opałowy",'Mieszkalne - baza'!M43*'Założenia,wskaźniki, listy'!$B$8,IF(L43="sieć ciepłownicza",0,0))))))</f>
        <v>56.524999999999999</v>
      </c>
      <c r="S43" s="1084">
        <v>1.8048000000000002</v>
      </c>
      <c r="T43" s="639">
        <f>IF(L43="węgiel",R43*'Założenia,wskaźniki, listy'!$C$44,IF(L43="gaz",R43*'Założenia,wskaźniki, listy'!$D$44,IF(L43="drewno",R43*'Założenia,wskaźniki, listy'!$E$44,IF(L43="pelet",R43*'Założenia,wskaźniki, listy'!$F$44,IF(L43="olej opałowy",R43*'Założenia,wskaźniki, listy'!$G$44,IF(L43="sieć ciepłownicza",0,IF(L43="prąd",0,0)))))))</f>
        <v>1.2718124999999999E-2</v>
      </c>
      <c r="U43" s="639">
        <f>IF(L43="węgiel",R43*'Założenia,wskaźniki, listy'!$C$45,IF(L43="gaz",R43*'Założenia,wskaźniki, listy'!$D$45,IF(L43="drewno",R43*'Założenia,wskaźniki, listy'!$E$45,IF(L43="pelet",R43*'Założenia,wskaźniki, listy'!$F$45,IF(L43="olej opałowy",R43*'Założenia,wskaźniki, listy'!$G$45,IF(L43="sieć ciepłownicza",0,IF(L43="prąd",0,0)))))))</f>
        <v>1.1361525000000001E-2</v>
      </c>
      <c r="V43" s="639">
        <f>IF(L43="węgiel",R43*'Założenia,wskaźniki, listy'!$C$46,IF(L43="gaz",R43*'Założenia,wskaźniki, listy'!$D$46,IF(L43="drewno",R43*'Założenia,wskaźniki, listy'!$E$46,IF(L43="pelet",R43*'Założenia,wskaźniki, listy'!$F$46,IF(L43="olej opałowy",R43*'Założenia,wskaźniki, listy'!$G$46,IF(L43="sieć ciepłownicza",R43*'Założenia,wskaźniki, listy'!$H$46,IF(L43="prąd",R43*'Założenia,wskaźniki, listy'!$I$46,0)))))))</f>
        <v>5.2986534999999995</v>
      </c>
      <c r="W43" s="639">
        <f>IF(L43="węgiel",R43*'Założenia,wskaźniki, listy'!$C$47,IF(L43="gaz",R43*'Założenia,wskaźniki, listy'!$D$47,IF(L43="drewno",R43*'Założenia,wskaźniki, listy'!$E$47,IF(L43="pelet",R43*'Założenia,wskaźniki, listy'!$F$47,IF(L43="olej opałowy",R43*'Założenia,wskaźniki, listy'!$G$47,IF(L43="sieć ciepłownicza",0,IF(L43="prąd",0,0)))))))</f>
        <v>1.526175E-5</v>
      </c>
      <c r="X43" s="639">
        <f>IF(L43="węgiel",R43*'Założenia,wskaźniki, listy'!$C$48, IF(L43="gaz",R43*'Założenia,wskaźniki, listy'!$D$48,IF(L43="drewno",R43*'Założenia,wskaźniki, listy'!$E$48,IF(L43="pelet",R43*'Założenia,wskaźniki, listy'!$F$48,IF(L43="olej opałowy",R43*'Założenia,wskaźniki, listy'!$G$48,IF(L43="sieć ciepłownicza",0,IF(L43="prąd",0,0)))))))</f>
        <v>5.0872499999999994E-2</v>
      </c>
      <c r="Y43" s="639">
        <f>IF(L43="węgiel",R43*'Założenia,wskaźniki, listy'!$C$49, IF(L43="gaz",R43*'Założenia,wskaźniki, listy'!$D$49, IF(L43="drewno",R43*'Założenia,wskaźniki, listy'!$E$49,IF(L43="pelet",R43*'Założenia,wskaźniki, listy'!$F$49,IF(L43="olej opałowy",R43*'Założenia,wskaźniki, listy'!$G$49,IF(L43="sieć ciepłownicza",0,IF(L43="prąd",0,0)))))))</f>
        <v>8.93095E-3</v>
      </c>
      <c r="Z43" s="639">
        <f>IF(L43="węgiel",R43*'Założenia,wskaźniki, listy'!$C$50,IF(L43="gaz",R43*'Założenia,wskaźniki, listy'!$D$50, IF(L43="drewno",R43*'Założenia,wskaźniki, listy'!$E$50,IF(L43="pelet",R43*'Założenia,wskaźniki, listy'!$F$50,IF(L43="pelet",R43*'Założenia,wskaźniki, listy'!$F$50,IF(L43="olej opałowy",R43*'Założenia,wskaźniki, listy'!$G$50,IF(L43="sieć ciepłownicza",0,IF(L43="prąd",0,0))))))))</f>
        <v>0.11370697362539113</v>
      </c>
      <c r="AA43" s="639">
        <f>IF(N43="węgiel",Q43*'Założenia,wskaźniki, listy'!$C$44,IF(N43="gaz",Q43*'Założenia,wskaźniki, listy'!$D$44,IF(N43="drewno",Q43*'Założenia,wskaźniki, listy'!$E$44,IF(N43="pelet",Q43*'Założenia,wskaźniki, listy'!$G$44,IF(N43="olej opałowy",Q43*'Założenia,wskaźniki, listy'!$G$44,IF(N43="sieć ciepłownicza",0,IF(N43="prąd",0,0)))))))</f>
        <v>0</v>
      </c>
      <c r="AB43" s="639">
        <f>IF(N43="węgiel",Q43*'Założenia,wskaźniki, listy'!$C$45,IF(N43="gaz",Q43*'Założenia,wskaźniki, listy'!$D$45,IF(N43="drewno",Q43*'Założenia,wskaźniki, listy'!$E$45,IF(N43="pelet",Q43*'Założenia,wskaźniki, listy'!$G$45,IF(N43="olej opałowy",Q43*'Założenia,wskaźniki, listy'!$G$45,IF(N43="sieć ciepłownicza",0,IF(N43="prąd",0,0)))))))</f>
        <v>0</v>
      </c>
      <c r="AC43" s="639">
        <f>IF(N43="węgiel",Q43*'Założenia,wskaźniki, listy'!$C$46,IF(N43="gaz",Q43*'Założenia,wskaźniki, listy'!$D$46,IF(N43="drewno",Q43*'Założenia,wskaźniki, listy'!$E$46,IF(N43="pelet",Q43*'Założenia,wskaźniki, listy'!$G$46,IF(N43="olej opałowy",Q43*'Założenia,wskaźniki, listy'!$G$46,IF(N43="sieć ciepłownicza",0,IF(N43="prąd",0,0)))))))</f>
        <v>0</v>
      </c>
      <c r="AD43" s="639">
        <f>IF(N43="węgiel",Q43*'Założenia,wskaźniki, listy'!$C$47,IF(N43="gaz",Q43*'Założenia,wskaźniki, listy'!$D$47,IF(N43="drewno",Q43*'Założenia,wskaźniki, listy'!$E$47,IF(N43="pelet",Q43*'Założenia,wskaźniki, listy'!$G$47,IF(N43="olej opałowy",Q43*'Założenia,wskaźniki, listy'!$G$47,IF(N43="sieć ciepłownicza",0,IF(N43="prąd",0,0)))))))</f>
        <v>0</v>
      </c>
      <c r="AE43" s="639">
        <f>IF(N43="węgiel",Q43*'Założenia,wskaźniki, listy'!$C$48,IF(N43="gaz",Q43*'Założenia,wskaźniki, listy'!$D$48,IF(N43="drewno",Q43*'Założenia,wskaźniki, listy'!$E$48,IF(N43="pelet",Q43*'Założenia,wskaźniki, listy'!$G$48,IF(N43="olej opałowy",Q43*'Założenia,wskaźniki, listy'!$G$48,IF(N43="sieć ciepłownicza",0,IF(N43="prąd",0,0)))))))</f>
        <v>0</v>
      </c>
      <c r="AF43" s="639">
        <f>IF(N43="węgiel",Q43*'Założenia,wskaźniki, listy'!$C$49,IF(N43="gaz",Q43*'Założenia,wskaźniki, listy'!$D$49,IF(N43="drewno",Q43*'Założenia,wskaźniki, listy'!$E$49,IF(N43="pelet",Q43*'Założenia,wskaźniki, listy'!$G$49,IF(N43="olej opałowy",Q43*'Założenia,wskaźniki, listy'!$G$49,IF(N43="sieć ciepłownicza",0,IF(N43="prąd",0,0)))))))</f>
        <v>0</v>
      </c>
      <c r="AG43" s="639">
        <f>IF(N43="węgiel",Q43*'Założenia,wskaźniki, listy'!$C$50,IF(N43="gaz",Q43*'Założenia,wskaźniki, listy'!$D$50,IF(N43="drewno",Q43*'Założenia,wskaźniki, listy'!$E$50,IF(N43="pelet",Q43*'Założenia,wskaźniki, listy'!$G$50,IF(N43="olej opałowy",Q43*'Założenia,wskaźniki, listy'!$G$50,IF(N43="sieć ciepłownicza",0,IF(N43="prąd",0,0)))))))</f>
        <v>0</v>
      </c>
      <c r="AH43" s="640">
        <f>IF(L43="węgiel",(P43+R43)/2*'Założenia,wskaźniki, listy'!$C$4,IF(L43="gaz",(P43+R43)/2*'Założenia,wskaźniki, listy'!$C$5,IF(L43="drewno",(P43+R43)/2*'Założenia,wskaźniki, listy'!$C$6,IF(L43="pelet",(P43+R43)/2*'Założenia,wskaźniki, listy'!$C$7,IF(L43="olej opałowy",(P43+R43)/2*'Założenia,wskaźniki, listy'!$C$8,IF(L43="sieć ciepłownicza",(P43+R43)/2*'Założenia,wskaźniki, listy'!$C$9,IF(L43="sieć ciepłownicza",(P43+R43)/2*'Założenia,wskaźniki, listy'!$C$10,)))))))</f>
        <v>2442.8824999999997</v>
      </c>
      <c r="AI43" s="640">
        <f>IF(N43="węgiel",Q43*'Założenia,wskaźniki, listy'!$C$4,IF(N43="gaz",Q43*'Założenia,wskaźniki, listy'!$C$5,IF(N43="drewno",Q43*'Założenia,wskaźniki, listy'!$C$6,IF(N43="pelet",Q43*'Założenia,wskaźniki, listy'!$C$7,IF(N43="olej opałowy",Q43*'Założenia,wskaźniki, listy'!$C$8,IF(N43="sieć ciepłownicza",Q43*'Założenia,wskaźniki, listy'!$C$9,IF(N43="sieć ciepłownicza",Q43*'Założenia,wskaźniki, listy'!$C$10,0)))))))</f>
        <v>0</v>
      </c>
      <c r="AJ43" s="640">
        <f>S43*'Założenia,wskaźniki, listy'!$B$64*1000</f>
        <v>1281.4080000000001</v>
      </c>
      <c r="AK43" s="640">
        <f>(H43+I43)*'Założenia,wskaźniki, listy'!$D$64*12</f>
        <v>0</v>
      </c>
      <c r="AL43" s="640">
        <f>AK43*'Założenia,wskaźniki, listy'!$F$64</f>
        <v>0</v>
      </c>
      <c r="AM43" s="639">
        <f t="shared" si="95"/>
        <v>1.2718124999999999E-2</v>
      </c>
      <c r="AN43" s="639">
        <f t="shared" si="96"/>
        <v>1.1361525000000001E-2</v>
      </c>
      <c r="AO43" s="639">
        <f>V43+AC43+S43*'Założenia,wskaźniki, listy'!$J$46</f>
        <v>6.7993446999999998</v>
      </c>
      <c r="AP43" s="639">
        <f t="shared" si="97"/>
        <v>1.526175E-5</v>
      </c>
      <c r="AQ43" s="639">
        <f t="shared" si="98"/>
        <v>5.0872499999999994E-2</v>
      </c>
      <c r="AR43" s="639">
        <f t="shared" si="99"/>
        <v>8.93095E-3</v>
      </c>
      <c r="AS43" s="639">
        <f t="shared" si="100"/>
        <v>0.11370697362539113</v>
      </c>
      <c r="AT43" s="647"/>
      <c r="AU43" s="647"/>
      <c r="AV43" s="624">
        <f t="shared" si="1"/>
        <v>60</v>
      </c>
      <c r="AW43" s="624" t="b">
        <f t="shared" si="2"/>
        <v>0</v>
      </c>
      <c r="AX43" s="624" t="b">
        <f t="shared" si="3"/>
        <v>0</v>
      </c>
      <c r="AY43" s="624" t="b">
        <f t="shared" si="4"/>
        <v>0</v>
      </c>
      <c r="AZ43" s="624" t="b">
        <f t="shared" si="5"/>
        <v>0</v>
      </c>
      <c r="BA43" s="624" t="b">
        <f t="shared" si="6"/>
        <v>0</v>
      </c>
      <c r="BB43" s="624" t="b">
        <f t="shared" si="7"/>
        <v>0</v>
      </c>
      <c r="BC43" s="624" t="b">
        <f t="shared" si="8"/>
        <v>0</v>
      </c>
      <c r="BD43" s="624" t="b">
        <f t="shared" si="9"/>
        <v>0</v>
      </c>
      <c r="BE43" s="624" t="b">
        <f t="shared" si="10"/>
        <v>0</v>
      </c>
      <c r="BF43" s="624">
        <f t="shared" si="11"/>
        <v>56.524999999999999</v>
      </c>
      <c r="BG43" s="624" t="b">
        <f t="shared" si="12"/>
        <v>0</v>
      </c>
      <c r="BH43" s="624" t="b">
        <f t="shared" si="13"/>
        <v>0</v>
      </c>
      <c r="BI43" s="624" t="b">
        <f t="shared" si="14"/>
        <v>0</v>
      </c>
      <c r="BJ43" s="624" t="b">
        <f t="shared" si="15"/>
        <v>0</v>
      </c>
      <c r="BK43" s="624" t="b">
        <f t="shared" si="16"/>
        <v>0</v>
      </c>
      <c r="BL43" s="624" t="b">
        <f t="shared" si="17"/>
        <v>0</v>
      </c>
      <c r="BM43" s="624" t="b">
        <f t="shared" si="18"/>
        <v>0</v>
      </c>
      <c r="BN43" s="624" t="b">
        <f t="shared" si="19"/>
        <v>0</v>
      </c>
      <c r="BO43" s="624" t="b">
        <f t="shared" si="20"/>
        <v>0</v>
      </c>
      <c r="BP43" s="624" t="b">
        <f t="shared" si="21"/>
        <v>0</v>
      </c>
      <c r="BQ43" s="624" t="b">
        <f t="shared" si="22"/>
        <v>0</v>
      </c>
    </row>
    <row r="44" spans="1:69">
      <c r="A44" s="1087"/>
      <c r="B44" s="872"/>
      <c r="C44" s="872"/>
      <c r="D44" s="645"/>
      <c r="E44" s="645"/>
      <c r="F44" s="644"/>
      <c r="G44" s="644"/>
      <c r="H44" s="644"/>
      <c r="I44" s="635"/>
      <c r="J44" s="644">
        <f>IF(F44&lt;=1966,'Założenia,wskaźniki, listy'!$H$4,IF(F44&gt;1966,IF(F44&lt;=1985,'Założenia,wskaźniki, listy'!$H$5,IF(F44&gt;1985,IF(F44&lt;=1992,'Założenia,wskaźniki, listy'!$H$6,IF(F44&gt;1992,IF(F44&lt;=1996,'Założenia,wskaźniki, listy'!$H$7,IF(F44&gt;1996,IF(F44&lt;=2015,'Założenia,wskaźniki, listy'!$H$8)))))))))</f>
        <v>290</v>
      </c>
      <c r="K44" s="872"/>
      <c r="L44" s="644"/>
      <c r="M44" s="644"/>
      <c r="N44" s="644"/>
      <c r="O44" s="637">
        <f t="shared" si="23"/>
        <v>0</v>
      </c>
      <c r="P44" s="646">
        <f>IF(K44="kompletna",J44*G44*0.0036*'Założenia,wskaźniki, listy'!$P$9,IF(K44="częściowa",J44*G44*0.0036*'Założenia,wskaźniki, listy'!$P$10,IF(K44="brak",J44*G44*0.0036*'Założenia,wskaźniki, listy'!$P$11,0)))</f>
        <v>0</v>
      </c>
      <c r="Q44" s="638">
        <f>H44*'Założenia,wskaźniki, listy'!$L$15</f>
        <v>0</v>
      </c>
      <c r="R44" s="635">
        <f>IF(L44="węgiel",'Mieszkalne - baza'!M44*'Założenia,wskaźniki, listy'!$B$4,IF(L44="gaz",'Mieszkalne - baza'!M44*'Założenia,wskaźniki, listy'!$B$5,IF(L44="drewno",'Mieszkalne - baza'!M44*'Założenia,wskaźniki, listy'!$B$6,IF(L44="pelet",'Mieszkalne - baza'!M44*'Założenia,wskaźniki, listy'!$B$7,IF(L44="olej opałowy",'Mieszkalne - baza'!M44*'Założenia,wskaźniki, listy'!$B$8,IF(L44="sieć ciepłownicza",0,0))))))</f>
        <v>0</v>
      </c>
      <c r="S44" s="1085"/>
      <c r="T44" s="639">
        <f>IF(L44="węgiel",R44*'Założenia,wskaźniki, listy'!$C$44,IF(L44="gaz",R44*'Założenia,wskaźniki, listy'!$D$44,IF(L44="drewno",R44*'Założenia,wskaźniki, listy'!$E$44,IF(L44="pelet",R44*'Założenia,wskaźniki, listy'!$F$44,IF(L44="olej opałowy",R44*'Założenia,wskaźniki, listy'!$G$44,IF(L44="sieć ciepłownicza",0,IF(L44="prąd",0,0)))))))</f>
        <v>0</v>
      </c>
      <c r="U44" s="639">
        <f>IF(L44="węgiel",R44*'Założenia,wskaźniki, listy'!$C$45,IF(L44="gaz",R44*'Założenia,wskaźniki, listy'!$D$45,IF(L44="drewno",R44*'Założenia,wskaźniki, listy'!$E$45,IF(L44="pelet",R44*'Założenia,wskaźniki, listy'!$F$45,IF(L44="olej opałowy",R44*'Założenia,wskaźniki, listy'!$G$45,IF(L44="sieć ciepłownicza",0,IF(L44="prąd",0,0)))))))</f>
        <v>0</v>
      </c>
      <c r="V44" s="639">
        <f>IF(L44="węgiel",R44*'Założenia,wskaźniki, listy'!$C$46,IF(L44="gaz",R44*'Założenia,wskaźniki, listy'!$D$46,IF(L44="drewno",R44*'Założenia,wskaźniki, listy'!$E$46,IF(L44="pelet",R44*'Założenia,wskaźniki, listy'!$F$46,IF(L44="olej opałowy",R44*'Założenia,wskaźniki, listy'!$G$46,IF(L44="sieć ciepłownicza",R44*'Założenia,wskaźniki, listy'!$H$46,IF(L44="prąd",R44*'Założenia,wskaźniki, listy'!$I$46,0)))))))</f>
        <v>0</v>
      </c>
      <c r="W44" s="639">
        <f>IF(L44="węgiel",R44*'Założenia,wskaźniki, listy'!$C$47,IF(L44="gaz",R44*'Założenia,wskaźniki, listy'!$D$47,IF(L44="drewno",R44*'Założenia,wskaźniki, listy'!$E$47,IF(L44="pelet",R44*'Założenia,wskaźniki, listy'!$F$47,IF(L44="olej opałowy",R44*'Założenia,wskaźniki, listy'!$G$47,IF(L44="sieć ciepłownicza",0,IF(L44="prąd",0,0)))))))</f>
        <v>0</v>
      </c>
      <c r="X44" s="639">
        <f>IF(L44="węgiel",R44*'Założenia,wskaźniki, listy'!$C$48, IF(L44="gaz",R44*'Założenia,wskaźniki, listy'!$D$48,IF(L44="drewno",R44*'Założenia,wskaźniki, listy'!$E$48,IF(L44="pelet",R44*'Założenia,wskaźniki, listy'!$F$48,IF(L44="olej opałowy",R44*'Założenia,wskaźniki, listy'!$G$48,IF(L44="sieć ciepłownicza",0,IF(L44="prąd",0,0)))))))</f>
        <v>0</v>
      </c>
      <c r="Y44" s="639">
        <f>IF(L44="węgiel",R44*'Założenia,wskaźniki, listy'!$C$49, IF(L44="gaz",R44*'Założenia,wskaźniki, listy'!$D$49, IF(L44="drewno",R44*'Założenia,wskaźniki, listy'!$E$49,IF(L44="pelet",R44*'Założenia,wskaźniki, listy'!$F$49,IF(L44="olej opałowy",R44*'Założenia,wskaźniki, listy'!$G$49,IF(L44="sieć ciepłownicza",0,IF(L44="prąd",0,0)))))))</f>
        <v>0</v>
      </c>
      <c r="Z44" s="639">
        <f>IF(L44="węgiel",R44*'Założenia,wskaźniki, listy'!$C$50,IF(L44="gaz",R44*'Założenia,wskaźniki, listy'!$D$50, IF(L44="drewno",R44*'Założenia,wskaźniki, listy'!$E$50,IF(L44="pelet",R44*'Założenia,wskaźniki, listy'!$F$50,IF(L44="pelet",R44*'Założenia,wskaźniki, listy'!$F$50,IF(L44="olej opałowy",R44*'Założenia,wskaźniki, listy'!$G$50,IF(L44="sieć ciepłownicza",0,IF(L44="prąd",0,0))))))))</f>
        <v>0</v>
      </c>
      <c r="AA44" s="639">
        <f>IF(N44="węgiel",Q44*'Założenia,wskaźniki, listy'!$C$44,IF(N44="gaz",Q44*'Założenia,wskaźniki, listy'!$D$44,IF(N44="drewno",Q44*'Założenia,wskaźniki, listy'!$E$44,IF(N44="pelet",Q44*'Założenia,wskaźniki, listy'!$G$44,IF(N44="olej opałowy",Q44*'Założenia,wskaźniki, listy'!$G$44,IF(N44="sieć ciepłownicza",0,IF(N44="prąd",0,0)))))))</f>
        <v>0</v>
      </c>
      <c r="AB44" s="639">
        <f>IF(N44="węgiel",Q44*'Założenia,wskaźniki, listy'!$C$45,IF(N44="gaz",Q44*'Założenia,wskaźniki, listy'!$D$45,IF(N44="drewno",Q44*'Założenia,wskaźniki, listy'!$E$45,IF(N44="pelet",Q44*'Założenia,wskaźniki, listy'!$G$45,IF(N44="olej opałowy",Q44*'Założenia,wskaźniki, listy'!$G$45,IF(N44="sieć ciepłownicza",0,IF(N44="prąd",0,0)))))))</f>
        <v>0</v>
      </c>
      <c r="AC44" s="639">
        <f>IF(N44="węgiel",Q44*'Założenia,wskaźniki, listy'!$C$46,IF(N44="gaz",Q44*'Założenia,wskaźniki, listy'!$D$46,IF(N44="drewno",Q44*'Założenia,wskaźniki, listy'!$E$46,IF(N44="pelet",Q44*'Założenia,wskaźniki, listy'!$G$46,IF(N44="olej opałowy",Q44*'Założenia,wskaźniki, listy'!$G$46,IF(N44="sieć ciepłownicza",0,IF(N44="prąd",0,0)))))))</f>
        <v>0</v>
      </c>
      <c r="AD44" s="639">
        <f>IF(N44="węgiel",Q44*'Założenia,wskaźniki, listy'!$C$47,IF(N44="gaz",Q44*'Założenia,wskaźniki, listy'!$D$47,IF(N44="drewno",Q44*'Założenia,wskaźniki, listy'!$E$47,IF(N44="pelet",Q44*'Założenia,wskaźniki, listy'!$G$47,IF(N44="olej opałowy",Q44*'Założenia,wskaźniki, listy'!$G$47,IF(N44="sieć ciepłownicza",0,IF(N44="prąd",0,0)))))))</f>
        <v>0</v>
      </c>
      <c r="AE44" s="639">
        <f>IF(N44="węgiel",Q44*'Założenia,wskaźniki, listy'!$C$48,IF(N44="gaz",Q44*'Założenia,wskaźniki, listy'!$D$48,IF(N44="drewno",Q44*'Założenia,wskaźniki, listy'!$E$48,IF(N44="pelet",Q44*'Założenia,wskaźniki, listy'!$G$48,IF(N44="olej opałowy",Q44*'Założenia,wskaźniki, listy'!$G$48,IF(N44="sieć ciepłownicza",0,IF(N44="prąd",0,0)))))))</f>
        <v>0</v>
      </c>
      <c r="AF44" s="639">
        <f>IF(N44="węgiel",Q44*'Założenia,wskaźniki, listy'!$C$49,IF(N44="gaz",Q44*'Założenia,wskaźniki, listy'!$D$49,IF(N44="drewno",Q44*'Założenia,wskaźniki, listy'!$E$49,IF(N44="pelet",Q44*'Założenia,wskaźniki, listy'!$G$49,IF(N44="olej opałowy",Q44*'Założenia,wskaźniki, listy'!$G$49,IF(N44="sieć ciepłownicza",0,IF(N44="prąd",0,0)))))))</f>
        <v>0</v>
      </c>
      <c r="AG44" s="639">
        <f>IF(N44="węgiel",Q44*'Założenia,wskaźniki, listy'!$C$50,IF(N44="gaz",Q44*'Założenia,wskaźniki, listy'!$D$50,IF(N44="drewno",Q44*'Założenia,wskaźniki, listy'!$E$50,IF(N44="pelet",Q44*'Założenia,wskaźniki, listy'!$G$50,IF(N44="olej opałowy",Q44*'Założenia,wskaźniki, listy'!$G$50,IF(N44="sieć ciepłownicza",0,IF(N44="prąd",0,0)))))))</f>
        <v>0</v>
      </c>
      <c r="AH44" s="640">
        <f>IF(L44="węgiel",(P44+R44)/2*'Założenia,wskaźniki, listy'!$C$4,IF(L44="gaz",(P44+R44)/2*'Założenia,wskaźniki, listy'!$C$5,IF(L44="drewno",(P44+R44)/2*'Założenia,wskaźniki, listy'!$C$6,IF(L44="pelet",(P44+R44)/2*'Założenia,wskaźniki, listy'!$C$7,IF(L44="olej opałowy",(P44+R44)/2*'Założenia,wskaźniki, listy'!$C$8,IF(L44="sieć ciepłownicza",(P44+R44)/2*'Założenia,wskaźniki, listy'!$C$9,IF(L44="sieć ciepłownicza",(P44+R44)/2*'Założenia,wskaźniki, listy'!$C$10,)))))))</f>
        <v>0</v>
      </c>
      <c r="AI44" s="640">
        <f>IF(N44="węgiel",Q44*'Założenia,wskaźniki, listy'!$C$4,IF(N44="gaz",Q44*'Założenia,wskaźniki, listy'!$C$5,IF(N44="drewno",Q44*'Założenia,wskaźniki, listy'!$C$6,IF(N44="pelet",Q44*'Założenia,wskaźniki, listy'!$C$7,IF(N44="olej opałowy",Q44*'Założenia,wskaźniki, listy'!$C$8,IF(N44="sieć ciepłownicza",Q44*'Założenia,wskaźniki, listy'!$C$9,IF(N44="sieć ciepłownicza",Q44*'Założenia,wskaźniki, listy'!$C$10,0)))))))</f>
        <v>0</v>
      </c>
      <c r="AJ44" s="640">
        <f>S44*'Założenia,wskaźniki, listy'!$B$64*1000</f>
        <v>0</v>
      </c>
      <c r="AK44" s="640">
        <f>(H44+I44)*'Założenia,wskaźniki, listy'!$D$64*12</f>
        <v>0</v>
      </c>
      <c r="AL44" s="640">
        <f>AK44*'Założenia,wskaźniki, listy'!$F$64</f>
        <v>0</v>
      </c>
      <c r="AM44" s="639">
        <f t="shared" si="95"/>
        <v>0</v>
      </c>
      <c r="AN44" s="639">
        <f t="shared" si="96"/>
        <v>0</v>
      </c>
      <c r="AO44" s="639">
        <f>V44+AC44+S44*'Założenia,wskaźniki, listy'!$J$46</f>
        <v>0</v>
      </c>
      <c r="AP44" s="639">
        <f t="shared" si="97"/>
        <v>0</v>
      </c>
      <c r="AQ44" s="639">
        <f t="shared" si="98"/>
        <v>0</v>
      </c>
      <c r="AR44" s="639">
        <f t="shared" si="99"/>
        <v>0</v>
      </c>
      <c r="AS44" s="639">
        <f t="shared" si="100"/>
        <v>0</v>
      </c>
      <c r="AT44" s="647"/>
      <c r="AU44" s="647"/>
      <c r="AV44" s="624">
        <f t="shared" si="1"/>
        <v>0</v>
      </c>
      <c r="AW44" s="624" t="b">
        <f t="shared" si="2"/>
        <v>0</v>
      </c>
      <c r="AX44" s="624" t="b">
        <f t="shared" si="3"/>
        <v>0</v>
      </c>
      <c r="AY44" s="624" t="b">
        <f t="shared" si="4"/>
        <v>0</v>
      </c>
      <c r="AZ44" s="624" t="b">
        <f t="shared" si="5"/>
        <v>0</v>
      </c>
      <c r="BA44" s="624" t="b">
        <f t="shared" si="6"/>
        <v>0</v>
      </c>
      <c r="BB44" s="624" t="b">
        <f t="shared" si="7"/>
        <v>0</v>
      </c>
      <c r="BC44" s="624" t="b">
        <f t="shared" si="8"/>
        <v>0</v>
      </c>
      <c r="BD44" s="624" t="b">
        <f t="shared" si="9"/>
        <v>0</v>
      </c>
      <c r="BE44" s="624" t="b">
        <f t="shared" si="10"/>
        <v>0</v>
      </c>
      <c r="BF44" s="624" t="b">
        <f t="shared" si="11"/>
        <v>0</v>
      </c>
      <c r="BG44" s="624" t="b">
        <f t="shared" si="12"/>
        <v>0</v>
      </c>
      <c r="BH44" s="624" t="b">
        <f t="shared" si="13"/>
        <v>0</v>
      </c>
      <c r="BI44" s="624" t="b">
        <f t="shared" si="14"/>
        <v>0</v>
      </c>
      <c r="BJ44" s="624" t="b">
        <f t="shared" si="15"/>
        <v>0</v>
      </c>
      <c r="BK44" s="624" t="b">
        <f t="shared" si="16"/>
        <v>0</v>
      </c>
      <c r="BL44" s="624" t="b">
        <f t="shared" si="17"/>
        <v>0</v>
      </c>
      <c r="BM44" s="624" t="b">
        <f t="shared" si="18"/>
        <v>0</v>
      </c>
      <c r="BN44" s="624" t="b">
        <f t="shared" si="19"/>
        <v>0</v>
      </c>
      <c r="BO44" s="624" t="b">
        <f t="shared" si="20"/>
        <v>0</v>
      </c>
      <c r="BP44" s="624" t="b">
        <f t="shared" si="21"/>
        <v>0</v>
      </c>
      <c r="BQ44" s="624" t="b">
        <f t="shared" si="22"/>
        <v>0</v>
      </c>
    </row>
    <row r="45" spans="1:69">
      <c r="A45" s="1086">
        <v>21</v>
      </c>
      <c r="B45" s="872" t="s">
        <v>21</v>
      </c>
      <c r="C45" s="873" t="s">
        <v>621</v>
      </c>
      <c r="D45" s="636" t="s">
        <v>622</v>
      </c>
      <c r="E45" s="645" t="s">
        <v>627</v>
      </c>
      <c r="F45" s="644">
        <v>1985</v>
      </c>
      <c r="G45" s="644">
        <v>150</v>
      </c>
      <c r="H45" s="644"/>
      <c r="I45" s="635"/>
      <c r="J45" s="644">
        <f>IF(F45&lt;=1966,'Założenia,wskaźniki, listy'!$H$4,IF(F45&gt;1966,IF(F45&lt;=1985,'Założenia,wskaźniki, listy'!$H$5,IF(F45&gt;1985,IF(F45&lt;=1992,'Założenia,wskaźniki, listy'!$H$6,IF(F45&gt;1992,IF(F45&lt;=1996,'Założenia,wskaźniki, listy'!$H$7,IF(F45&gt;1996,IF(F45&lt;=2015,'Założenia,wskaźniki, listy'!$H$8)))))))))</f>
        <v>250</v>
      </c>
      <c r="K45" s="864" t="s">
        <v>33</v>
      </c>
      <c r="L45" s="644" t="s">
        <v>8</v>
      </c>
      <c r="M45" s="644">
        <v>2.5</v>
      </c>
      <c r="N45" s="644"/>
      <c r="O45" s="637">
        <f t="shared" si="23"/>
        <v>82.262500000000003</v>
      </c>
      <c r="P45" s="646">
        <f>IF(K45="kompletna",J45*G45*0.0036*'Założenia,wskaźniki, listy'!$P$9,IF(K45="częściowa",J45*G45*0.0036*'Założenia,wskaźniki, listy'!$P$10,IF(K45="brak",J45*G45*0.0036*'Założenia,wskaźniki, listy'!$P$11,0)))</f>
        <v>108</v>
      </c>
      <c r="Q45" s="638">
        <f>H45*'Założenia,wskaźniki, listy'!$L$15</f>
        <v>0</v>
      </c>
      <c r="R45" s="635">
        <f>IF(L45="węgiel",'Mieszkalne - baza'!M45*'Założenia,wskaźniki, listy'!$B$4,IF(L45="gaz",'Mieszkalne - baza'!M45*'Założenia,wskaźniki, listy'!$B$5,IF(L45="drewno",'Mieszkalne - baza'!M45*'Założenia,wskaźniki, listy'!$B$6,IF(L45="pelet",'Mieszkalne - baza'!M45*'Założenia,wskaźniki, listy'!$B$7,IF(L45="olej opałowy",'Mieszkalne - baza'!M45*'Założenia,wskaźniki, listy'!$B$8,IF(L45="sieć ciepłownicza",0,0))))))</f>
        <v>56.524999999999999</v>
      </c>
      <c r="S45" s="1084">
        <v>1.6919999999999999</v>
      </c>
      <c r="T45" s="639">
        <f>IF(L45="węgiel",R45*'Założenia,wskaźniki, listy'!$C$44,IF(L45="gaz",R45*'Założenia,wskaźniki, listy'!$D$44,IF(L45="drewno",R45*'Założenia,wskaźniki, listy'!$E$44,IF(L45="pelet",R45*'Założenia,wskaźniki, listy'!$F$44,IF(L45="olej opałowy",R45*'Założenia,wskaźniki, listy'!$G$44,IF(L45="sieć ciepłownicza",0,IF(L45="prąd",0,0)))))))</f>
        <v>1.2718124999999999E-2</v>
      </c>
      <c r="U45" s="639">
        <f>IF(L45="węgiel",R45*'Założenia,wskaźniki, listy'!$C$45,IF(L45="gaz",R45*'Założenia,wskaźniki, listy'!$D$45,IF(L45="drewno",R45*'Założenia,wskaźniki, listy'!$E$45,IF(L45="pelet",R45*'Założenia,wskaźniki, listy'!$F$45,IF(L45="olej opałowy",R45*'Założenia,wskaźniki, listy'!$G$45,IF(L45="sieć ciepłownicza",0,IF(L45="prąd",0,0)))))))</f>
        <v>1.1361525000000001E-2</v>
      </c>
      <c r="V45" s="639">
        <f>IF(L45="węgiel",R45*'Założenia,wskaźniki, listy'!$C$46,IF(L45="gaz",R45*'Założenia,wskaźniki, listy'!$D$46,IF(L45="drewno",R45*'Założenia,wskaźniki, listy'!$E$46,IF(L45="pelet",R45*'Założenia,wskaźniki, listy'!$F$46,IF(L45="olej opałowy",R45*'Założenia,wskaźniki, listy'!$G$46,IF(L45="sieć ciepłownicza",R45*'Założenia,wskaźniki, listy'!$H$46,IF(L45="prąd",R45*'Założenia,wskaźniki, listy'!$I$46,0)))))))</f>
        <v>5.2986534999999995</v>
      </c>
      <c r="W45" s="639">
        <f>IF(L45="węgiel",R45*'Założenia,wskaźniki, listy'!$C$47,IF(L45="gaz",R45*'Założenia,wskaźniki, listy'!$D$47,IF(L45="drewno",R45*'Założenia,wskaźniki, listy'!$E$47,IF(L45="pelet",R45*'Założenia,wskaźniki, listy'!$F$47,IF(L45="olej opałowy",R45*'Założenia,wskaźniki, listy'!$G$47,IF(L45="sieć ciepłownicza",0,IF(L45="prąd",0,0)))))))</f>
        <v>1.526175E-5</v>
      </c>
      <c r="X45" s="639">
        <f>IF(L45="węgiel",R45*'Założenia,wskaźniki, listy'!$C$48, IF(L45="gaz",R45*'Założenia,wskaźniki, listy'!$D$48,IF(L45="drewno",R45*'Założenia,wskaźniki, listy'!$E$48,IF(L45="pelet",R45*'Założenia,wskaźniki, listy'!$F$48,IF(L45="olej opałowy",R45*'Założenia,wskaźniki, listy'!$G$48,IF(L45="sieć ciepłownicza",0,IF(L45="prąd",0,0)))))))</f>
        <v>5.0872499999999994E-2</v>
      </c>
      <c r="Y45" s="639">
        <f>IF(L45="węgiel",R45*'Założenia,wskaźniki, listy'!$C$49, IF(L45="gaz",R45*'Założenia,wskaźniki, listy'!$D$49, IF(L45="drewno",R45*'Założenia,wskaźniki, listy'!$E$49,IF(L45="pelet",R45*'Założenia,wskaźniki, listy'!$F$49,IF(L45="olej opałowy",R45*'Założenia,wskaźniki, listy'!$G$49,IF(L45="sieć ciepłownicza",0,IF(L45="prąd",0,0)))))))</f>
        <v>8.93095E-3</v>
      </c>
      <c r="Z45" s="639">
        <f>IF(L45="węgiel",R45*'Założenia,wskaźniki, listy'!$C$50,IF(L45="gaz",R45*'Założenia,wskaźniki, listy'!$D$50, IF(L45="drewno",R45*'Założenia,wskaźniki, listy'!$E$50,IF(L45="pelet",R45*'Założenia,wskaźniki, listy'!$F$50,IF(L45="pelet",R45*'Założenia,wskaźniki, listy'!$F$50,IF(L45="olej opałowy",R45*'Założenia,wskaźniki, listy'!$G$50,IF(L45="sieć ciepłownicza",0,IF(L45="prąd",0,0))))))))</f>
        <v>0.11370697362539113</v>
      </c>
      <c r="AA45" s="639">
        <f>IF(N45="węgiel",Q45*'Założenia,wskaźniki, listy'!$C$44,IF(N45="gaz",Q45*'Założenia,wskaźniki, listy'!$D$44,IF(N45="drewno",Q45*'Założenia,wskaźniki, listy'!$E$44,IF(N45="pelet",Q45*'Założenia,wskaźniki, listy'!$G$44,IF(N45="olej opałowy",Q45*'Założenia,wskaźniki, listy'!$G$44,IF(N45="sieć ciepłownicza",0,IF(N45="prąd",0,0)))))))</f>
        <v>0</v>
      </c>
      <c r="AB45" s="639">
        <f>IF(N45="węgiel",Q45*'Założenia,wskaźniki, listy'!$C$45,IF(N45="gaz",Q45*'Założenia,wskaźniki, listy'!$D$45,IF(N45="drewno",Q45*'Założenia,wskaźniki, listy'!$E$45,IF(N45="pelet",Q45*'Założenia,wskaźniki, listy'!$G$45,IF(N45="olej opałowy",Q45*'Założenia,wskaźniki, listy'!$G$45,IF(N45="sieć ciepłownicza",0,IF(N45="prąd",0,0)))))))</f>
        <v>0</v>
      </c>
      <c r="AC45" s="639">
        <f>IF(N45="węgiel",Q45*'Założenia,wskaźniki, listy'!$C$46,IF(N45="gaz",Q45*'Założenia,wskaźniki, listy'!$D$46,IF(N45="drewno",Q45*'Założenia,wskaźniki, listy'!$E$46,IF(N45="pelet",Q45*'Założenia,wskaźniki, listy'!$G$46,IF(N45="olej opałowy",Q45*'Założenia,wskaźniki, listy'!$G$46,IF(N45="sieć ciepłownicza",0,IF(N45="prąd",0,0)))))))</f>
        <v>0</v>
      </c>
      <c r="AD45" s="639">
        <f>IF(N45="węgiel",Q45*'Założenia,wskaźniki, listy'!$C$47,IF(N45="gaz",Q45*'Założenia,wskaźniki, listy'!$D$47,IF(N45="drewno",Q45*'Założenia,wskaźniki, listy'!$E$47,IF(N45="pelet",Q45*'Założenia,wskaźniki, listy'!$G$47,IF(N45="olej opałowy",Q45*'Założenia,wskaźniki, listy'!$G$47,IF(N45="sieć ciepłownicza",0,IF(N45="prąd",0,0)))))))</f>
        <v>0</v>
      </c>
      <c r="AE45" s="639">
        <f>IF(N45="węgiel",Q45*'Założenia,wskaźniki, listy'!$C$48,IF(N45="gaz",Q45*'Założenia,wskaźniki, listy'!$D$48,IF(N45="drewno",Q45*'Założenia,wskaźniki, listy'!$E$48,IF(N45="pelet",Q45*'Założenia,wskaźniki, listy'!$G$48,IF(N45="olej opałowy",Q45*'Założenia,wskaźniki, listy'!$G$48,IF(N45="sieć ciepłownicza",0,IF(N45="prąd",0,0)))))))</f>
        <v>0</v>
      </c>
      <c r="AF45" s="639">
        <f>IF(N45="węgiel",Q45*'Założenia,wskaźniki, listy'!$C$49,IF(N45="gaz",Q45*'Założenia,wskaźniki, listy'!$D$49,IF(N45="drewno",Q45*'Założenia,wskaźniki, listy'!$E$49,IF(N45="pelet",Q45*'Założenia,wskaźniki, listy'!$G$49,IF(N45="olej opałowy",Q45*'Założenia,wskaźniki, listy'!$G$49,IF(N45="sieć ciepłownicza",0,IF(N45="prąd",0,0)))))))</f>
        <v>0</v>
      </c>
      <c r="AG45" s="639">
        <f>IF(N45="węgiel",Q45*'Założenia,wskaźniki, listy'!$C$50,IF(N45="gaz",Q45*'Założenia,wskaźniki, listy'!$D$50,IF(N45="drewno",Q45*'Założenia,wskaźniki, listy'!$E$50,IF(N45="pelet",Q45*'Założenia,wskaźniki, listy'!$G$50,IF(N45="olej opałowy",Q45*'Założenia,wskaźniki, listy'!$G$50,IF(N45="sieć ciepłownicza",0,IF(N45="prąd",0,0)))))))</f>
        <v>0</v>
      </c>
      <c r="AH45" s="640">
        <f>IF(L45="węgiel",(P45+R45)/2*'Założenia,wskaźniki, listy'!$C$4,IF(L45="gaz",(P45+R45)/2*'Założenia,wskaźniki, listy'!$C$5,IF(L45="drewno",(P45+R45)/2*'Założenia,wskaźniki, listy'!$C$6,IF(L45="pelet",(P45+R45)/2*'Założenia,wskaźniki, listy'!$C$7,IF(L45="olej opałowy",(P45+R45)/2*'Założenia,wskaźniki, listy'!$C$8,IF(L45="sieć ciepłownicza",(P45+R45)/2*'Założenia,wskaźniki, listy'!$C$9,IF(L45="sieć ciepłownicza",(P45+R45)/2*'Założenia,wskaźniki, listy'!$C$10,)))))))</f>
        <v>3372.7625000000003</v>
      </c>
      <c r="AI45" s="640">
        <f>IF(N45="węgiel",Q45*'Założenia,wskaźniki, listy'!$C$4,IF(N45="gaz",Q45*'Założenia,wskaźniki, listy'!$C$5,IF(N45="drewno",Q45*'Założenia,wskaźniki, listy'!$C$6,IF(N45="pelet",Q45*'Założenia,wskaźniki, listy'!$C$7,IF(N45="olej opałowy",Q45*'Założenia,wskaźniki, listy'!$C$8,IF(N45="sieć ciepłownicza",Q45*'Założenia,wskaźniki, listy'!$C$9,IF(N45="sieć ciepłownicza",Q45*'Założenia,wskaźniki, listy'!$C$10,0)))))))</f>
        <v>0</v>
      </c>
      <c r="AJ45" s="640">
        <f>S45*'Założenia,wskaźniki, listy'!$B$64*1000</f>
        <v>1201.32</v>
      </c>
      <c r="AK45" s="640">
        <f>(H45+I45)*'Założenia,wskaźniki, listy'!$D$64*12</f>
        <v>0</v>
      </c>
      <c r="AL45" s="640">
        <f>AK45*'Założenia,wskaźniki, listy'!$F$64</f>
        <v>0</v>
      </c>
      <c r="AM45" s="639">
        <f t="shared" si="95"/>
        <v>1.2718124999999999E-2</v>
      </c>
      <c r="AN45" s="639">
        <f t="shared" si="96"/>
        <v>1.1361525000000001E-2</v>
      </c>
      <c r="AO45" s="639">
        <f>V45+AC45+S45*'Założenia,wskaźniki, listy'!$J$46</f>
        <v>6.7055514999999994</v>
      </c>
      <c r="AP45" s="639">
        <f t="shared" si="97"/>
        <v>1.526175E-5</v>
      </c>
      <c r="AQ45" s="639">
        <f t="shared" si="98"/>
        <v>5.0872499999999994E-2</v>
      </c>
      <c r="AR45" s="639">
        <f t="shared" si="99"/>
        <v>8.93095E-3</v>
      </c>
      <c r="AS45" s="639">
        <f t="shared" si="100"/>
        <v>0.11370697362539113</v>
      </c>
      <c r="AT45" s="647"/>
      <c r="AU45" s="647"/>
      <c r="AV45" s="624" t="b">
        <f t="shared" si="1"/>
        <v>0</v>
      </c>
      <c r="AW45" s="624">
        <f t="shared" si="2"/>
        <v>0</v>
      </c>
      <c r="AX45" s="624">
        <f t="shared" si="3"/>
        <v>150</v>
      </c>
      <c r="AY45" s="624">
        <f t="shared" si="4"/>
        <v>75</v>
      </c>
      <c r="AZ45" s="624" t="b">
        <f t="shared" si="5"/>
        <v>0</v>
      </c>
      <c r="BA45" s="624">
        <f t="shared" si="6"/>
        <v>0</v>
      </c>
      <c r="BB45" s="624" t="b">
        <f t="shared" si="7"/>
        <v>0</v>
      </c>
      <c r="BC45" s="624">
        <f t="shared" si="8"/>
        <v>0</v>
      </c>
      <c r="BD45" s="624" t="b">
        <f t="shared" si="9"/>
        <v>0</v>
      </c>
      <c r="BE45" s="624">
        <f t="shared" si="10"/>
        <v>0</v>
      </c>
      <c r="BF45" s="624">
        <f t="shared" si="11"/>
        <v>56.524999999999999</v>
      </c>
      <c r="BG45" s="624" t="b">
        <f t="shared" si="12"/>
        <v>0</v>
      </c>
      <c r="BH45" s="624" t="b">
        <f t="shared" si="13"/>
        <v>0</v>
      </c>
      <c r="BI45" s="624" t="b">
        <f t="shared" si="14"/>
        <v>0</v>
      </c>
      <c r="BJ45" s="624" t="b">
        <f t="shared" si="15"/>
        <v>0</v>
      </c>
      <c r="BK45" s="624" t="b">
        <f t="shared" si="16"/>
        <v>0</v>
      </c>
      <c r="BL45" s="624" t="b">
        <f t="shared" si="17"/>
        <v>0</v>
      </c>
      <c r="BM45" s="624" t="b">
        <f t="shared" si="18"/>
        <v>0</v>
      </c>
      <c r="BN45" s="624" t="b">
        <f t="shared" si="19"/>
        <v>0</v>
      </c>
      <c r="BO45" s="624" t="b">
        <f t="shared" si="20"/>
        <v>0</v>
      </c>
      <c r="BP45" s="624" t="b">
        <f t="shared" si="21"/>
        <v>0</v>
      </c>
      <c r="BQ45" s="624" t="b">
        <f t="shared" si="22"/>
        <v>0</v>
      </c>
    </row>
    <row r="46" spans="1:69">
      <c r="A46" s="1087"/>
      <c r="B46" s="872"/>
      <c r="C46" s="874"/>
      <c r="D46" s="645"/>
      <c r="E46" s="645"/>
      <c r="F46" s="644"/>
      <c r="G46" s="644"/>
      <c r="H46" s="644"/>
      <c r="I46" s="635"/>
      <c r="J46" s="644">
        <f>IF(F46&lt;=1966,'Założenia,wskaźniki, listy'!$H$4,IF(F46&gt;1966,IF(F46&lt;=1985,'Założenia,wskaźniki, listy'!$H$5,IF(F46&gt;1985,IF(F46&lt;=1992,'Założenia,wskaźniki, listy'!$H$6,IF(F46&gt;1992,IF(F46&lt;=1996,'Założenia,wskaźniki, listy'!$H$7,IF(F46&gt;1996,IF(F46&lt;=2015,'Założenia,wskaźniki, listy'!$H$8)))))))))</f>
        <v>290</v>
      </c>
      <c r="K46" s="644"/>
      <c r="L46" s="644" t="s">
        <v>79</v>
      </c>
      <c r="M46" s="644">
        <v>1.5</v>
      </c>
      <c r="N46" s="644"/>
      <c r="O46" s="637">
        <f t="shared" si="23"/>
        <v>22.5</v>
      </c>
      <c r="P46" s="646">
        <f>IF(K46="kompletna",J46*G46*0.0036*'Założenia,wskaźniki, listy'!$P$9,IF(K46="częściowa",J46*G46*0.0036*'Założenia,wskaźniki, listy'!$P$10,IF(K46="brak",J46*G46*0.0036*'Założenia,wskaźniki, listy'!$P$11,0)))</f>
        <v>0</v>
      </c>
      <c r="Q46" s="638">
        <f>H46*'Założenia,wskaźniki, listy'!$L$15</f>
        <v>0</v>
      </c>
      <c r="R46" s="635">
        <f>IF(L46="węgiel",'Mieszkalne - baza'!M46*'Założenia,wskaźniki, listy'!$B$4,IF(L46="gaz",'Mieszkalne - baza'!M46*'Założenia,wskaźniki, listy'!$B$5,IF(L46="drewno",'Mieszkalne - baza'!M46*'Założenia,wskaźniki, listy'!$B$6,IF(L46="pelet",'Mieszkalne - baza'!M46*'Założenia,wskaźniki, listy'!$B$7,IF(L46="olej opałowy",'Mieszkalne - baza'!M46*'Założenia,wskaźniki, listy'!$B$8,IF(L46="sieć ciepłownicza",0,0))))))</f>
        <v>22.5</v>
      </c>
      <c r="S46" s="1085"/>
      <c r="T46" s="639">
        <f>IF(L46="węgiel",R46*'Założenia,wskaźniki, listy'!$C$44,IF(L46="gaz",R46*'Założenia,wskaźniki, listy'!$D$44,IF(L46="drewno",R46*'Założenia,wskaźniki, listy'!$E$44,IF(L46="pelet",R46*'Założenia,wskaźniki, listy'!$F$44,IF(L46="olej opałowy",R46*'Założenia,wskaźniki, listy'!$G$44,IF(L46="sieć ciepłownicza",0,IF(L46="prąd",0,0)))))))</f>
        <v>1.0800000000000001E-2</v>
      </c>
      <c r="U46" s="639">
        <f>IF(L46="węgiel",R46*'Założenia,wskaźniki, listy'!$C$45,IF(L46="gaz",R46*'Założenia,wskaźniki, listy'!$D$45,IF(L46="drewno",R46*'Założenia,wskaźniki, listy'!$E$45,IF(L46="pelet",R46*'Założenia,wskaźniki, listy'!$F$45,IF(L46="olej opałowy",R46*'Założenia,wskaźniki, listy'!$G$45,IF(L46="sieć ciepłownicza",0,IF(L46="prąd",0,0)))))))</f>
        <v>1.0574999999999999E-2</v>
      </c>
      <c r="V46" s="639">
        <f>IF(L46="węgiel",R46*'Założenia,wskaźniki, listy'!$C$46,IF(L46="gaz",R46*'Założenia,wskaźniki, listy'!$D$46,IF(L46="drewno",R46*'Założenia,wskaźniki, listy'!$E$46,IF(L46="pelet",R46*'Założenia,wskaźniki, listy'!$F$46,IF(L46="olej opałowy",R46*'Założenia,wskaźniki, listy'!$G$46,IF(L46="sieć ciepłownicza",R46*'Założenia,wskaźniki, listy'!$H$46,IF(L46="prąd",R46*'Założenia,wskaźniki, listy'!$I$46,0)))))))</f>
        <v>0</v>
      </c>
      <c r="W46" s="639">
        <f>IF(L46="węgiel",R46*'Założenia,wskaźniki, listy'!$C$47,IF(L46="gaz",R46*'Założenia,wskaźniki, listy'!$D$47,IF(L46="drewno",R46*'Założenia,wskaźniki, listy'!$E$47,IF(L46="pelet",R46*'Założenia,wskaźniki, listy'!$F$47,IF(L46="olej opałowy",R46*'Założenia,wskaźniki, listy'!$G$47,IF(L46="sieć ciepłownicza",0,IF(L46="prąd",0,0)))))))</f>
        <v>2.7225000000000002E-6</v>
      </c>
      <c r="X46" s="639">
        <f>IF(L46="węgiel",R46*'Założenia,wskaźniki, listy'!$C$48, IF(L46="gaz",R46*'Założenia,wskaźniki, listy'!$D$48,IF(L46="drewno",R46*'Założenia,wskaźniki, listy'!$E$48,IF(L46="pelet",R46*'Założenia,wskaźniki, listy'!$F$48,IF(L46="olej opałowy",R46*'Założenia,wskaźniki, listy'!$G$48,IF(L46="sieć ciepłownicza",0,IF(L46="prąd",0,0)))))))</f>
        <v>2.475E-4</v>
      </c>
      <c r="Y46" s="639">
        <f>IF(L46="węgiel",R46*'Założenia,wskaźniki, listy'!$C$49, IF(L46="gaz",R46*'Założenia,wskaźniki, listy'!$D$49, IF(L46="drewno",R46*'Założenia,wskaźniki, listy'!$E$49,IF(L46="pelet",R46*'Założenia,wskaźniki, listy'!$F$49,IF(L46="olej opałowy",R46*'Założenia,wskaźniki, listy'!$G$49,IF(L46="sieć ciepłownicza",0,IF(L46="prąd",0,0)))))))</f>
        <v>1.8000000000000002E-3</v>
      </c>
      <c r="Z46" s="639">
        <f>IF(L46="węgiel",R46*'Założenia,wskaźniki, listy'!$C$50,IF(L46="gaz",R46*'Założenia,wskaźniki, listy'!$D$50, IF(L46="drewno",R46*'Założenia,wskaźniki, listy'!$E$50,IF(L46="pelet",R46*'Założenia,wskaźniki, listy'!$F$50,IF(L46="pelet",R46*'Założenia,wskaźniki, listy'!$F$50,IF(L46="olej opałowy",R46*'Założenia,wskaźniki, listy'!$G$50,IF(L46="sieć ciepłownicza",0,IF(L46="prąd",0,0))))))))</f>
        <v>4.0365000000000002E-3</v>
      </c>
      <c r="AA46" s="639">
        <f>IF(N46="węgiel",Q46*'Założenia,wskaźniki, listy'!$C$44,IF(N46="gaz",Q46*'Założenia,wskaźniki, listy'!$D$44,IF(N46="drewno",Q46*'Założenia,wskaźniki, listy'!$E$44,IF(N46="pelet",Q46*'Założenia,wskaźniki, listy'!$G$44,IF(N46="olej opałowy",Q46*'Założenia,wskaźniki, listy'!$G$44,IF(N46="sieć ciepłownicza",0,IF(N46="prąd",0,0)))))))</f>
        <v>0</v>
      </c>
      <c r="AB46" s="639">
        <f>IF(N46="węgiel",Q46*'Założenia,wskaźniki, listy'!$C$45,IF(N46="gaz",Q46*'Założenia,wskaźniki, listy'!$D$45,IF(N46="drewno",Q46*'Założenia,wskaźniki, listy'!$E$45,IF(N46="pelet",Q46*'Założenia,wskaźniki, listy'!$G$45,IF(N46="olej opałowy",Q46*'Założenia,wskaźniki, listy'!$G$45,IF(N46="sieć ciepłownicza",0,IF(N46="prąd",0,0)))))))</f>
        <v>0</v>
      </c>
      <c r="AC46" s="639">
        <f>IF(N46="węgiel",Q46*'Założenia,wskaźniki, listy'!$C$46,IF(N46="gaz",Q46*'Założenia,wskaźniki, listy'!$D$46,IF(N46="drewno",Q46*'Założenia,wskaźniki, listy'!$E$46,IF(N46="pelet",Q46*'Założenia,wskaźniki, listy'!$G$46,IF(N46="olej opałowy",Q46*'Założenia,wskaźniki, listy'!$G$46,IF(N46="sieć ciepłownicza",0,IF(N46="prąd",0,0)))))))</f>
        <v>0</v>
      </c>
      <c r="AD46" s="639">
        <f>IF(N46="węgiel",Q46*'Założenia,wskaźniki, listy'!$C$47,IF(N46="gaz",Q46*'Założenia,wskaźniki, listy'!$D$47,IF(N46="drewno",Q46*'Założenia,wskaźniki, listy'!$E$47,IF(N46="pelet",Q46*'Założenia,wskaźniki, listy'!$G$47,IF(N46="olej opałowy",Q46*'Założenia,wskaźniki, listy'!$G$47,IF(N46="sieć ciepłownicza",0,IF(N46="prąd",0,0)))))))</f>
        <v>0</v>
      </c>
      <c r="AE46" s="639">
        <f>IF(N46="węgiel",Q46*'Założenia,wskaźniki, listy'!$C$48,IF(N46="gaz",Q46*'Założenia,wskaźniki, listy'!$D$48,IF(N46="drewno",Q46*'Założenia,wskaźniki, listy'!$E$48,IF(N46="pelet",Q46*'Założenia,wskaźniki, listy'!$G$48,IF(N46="olej opałowy",Q46*'Założenia,wskaźniki, listy'!$G$48,IF(N46="sieć ciepłownicza",0,IF(N46="prąd",0,0)))))))</f>
        <v>0</v>
      </c>
      <c r="AF46" s="639">
        <f>IF(N46="węgiel",Q46*'Założenia,wskaźniki, listy'!$C$49,IF(N46="gaz",Q46*'Założenia,wskaźniki, listy'!$D$49,IF(N46="drewno",Q46*'Założenia,wskaźniki, listy'!$E$49,IF(N46="pelet",Q46*'Założenia,wskaźniki, listy'!$G$49,IF(N46="olej opałowy",Q46*'Założenia,wskaźniki, listy'!$G$49,IF(N46="sieć ciepłownicza",0,IF(N46="prąd",0,0)))))))</f>
        <v>0</v>
      </c>
      <c r="AG46" s="639">
        <f>IF(N46="węgiel",Q46*'Założenia,wskaźniki, listy'!$C$50,IF(N46="gaz",Q46*'Założenia,wskaźniki, listy'!$D$50,IF(N46="drewno",Q46*'Założenia,wskaźniki, listy'!$E$50,IF(N46="pelet",Q46*'Założenia,wskaźniki, listy'!$G$50,IF(N46="olej opałowy",Q46*'Założenia,wskaźniki, listy'!$G$50,IF(N46="sieć ciepłownicza",0,IF(N46="prąd",0,0)))))))</f>
        <v>0</v>
      </c>
      <c r="AH46" s="640">
        <f>IF(L46="węgiel",(P46+R46)/2*'Założenia,wskaźniki, listy'!$C$4,IF(L46="gaz",(P46+R46)/2*'Założenia,wskaźniki, listy'!$C$5,IF(L46="drewno",(P46+R46)/2*'Założenia,wskaźniki, listy'!$C$6,IF(L46="pelet",(P46+R46)/2*'Założenia,wskaźniki, listy'!$C$7,IF(L46="olej opałowy",(P46+R46)/2*'Założenia,wskaźniki, listy'!$C$8,IF(L46="sieć ciepłownicza",(P46+R46)/2*'Założenia,wskaźniki, listy'!$C$9,IF(L46="sieć ciepłownicza",(P46+R46)/2*'Założenia,wskaźniki, listy'!$C$10,)))))))</f>
        <v>427.5</v>
      </c>
      <c r="AI46" s="640">
        <f>IF(N46="węgiel",Q46*'Założenia,wskaźniki, listy'!$C$4,IF(N46="gaz",Q46*'Założenia,wskaźniki, listy'!$C$5,IF(N46="drewno",Q46*'Założenia,wskaźniki, listy'!$C$6,IF(N46="pelet",Q46*'Założenia,wskaźniki, listy'!$C$7,IF(N46="olej opałowy",Q46*'Założenia,wskaźniki, listy'!$C$8,IF(N46="sieć ciepłownicza",Q46*'Założenia,wskaźniki, listy'!$C$9,IF(N46="sieć ciepłownicza",Q46*'Założenia,wskaźniki, listy'!$C$10,0)))))))</f>
        <v>0</v>
      </c>
      <c r="AJ46" s="640">
        <f>S46*'Założenia,wskaźniki, listy'!$B$64*1000</f>
        <v>0</v>
      </c>
      <c r="AK46" s="640">
        <f>(H46+I46)*'Założenia,wskaźniki, listy'!$D$64*12</f>
        <v>0</v>
      </c>
      <c r="AL46" s="640">
        <f>AK46*'Założenia,wskaźniki, listy'!$F$64</f>
        <v>0</v>
      </c>
      <c r="AM46" s="639">
        <f t="shared" si="95"/>
        <v>1.0800000000000001E-2</v>
      </c>
      <c r="AN46" s="639">
        <f t="shared" si="96"/>
        <v>1.0574999999999999E-2</v>
      </c>
      <c r="AO46" s="639">
        <f>V46+AC46+S46*'Założenia,wskaźniki, listy'!$J$46</f>
        <v>0</v>
      </c>
      <c r="AP46" s="639">
        <f t="shared" si="97"/>
        <v>2.7225000000000002E-6</v>
      </c>
      <c r="AQ46" s="639">
        <f t="shared" si="98"/>
        <v>2.475E-4</v>
      </c>
      <c r="AR46" s="639">
        <f t="shared" si="99"/>
        <v>1.8000000000000002E-3</v>
      </c>
      <c r="AS46" s="639">
        <f t="shared" si="100"/>
        <v>4.0365000000000002E-3</v>
      </c>
      <c r="AT46" s="647"/>
      <c r="AU46" s="647"/>
      <c r="AV46" s="624">
        <f t="shared" si="1"/>
        <v>0</v>
      </c>
      <c r="AW46" s="624" t="b">
        <f t="shared" si="2"/>
        <v>0</v>
      </c>
      <c r="AX46" s="624" t="b">
        <f t="shared" si="3"/>
        <v>0</v>
      </c>
      <c r="AY46" s="624" t="b">
        <f t="shared" si="4"/>
        <v>0</v>
      </c>
      <c r="AZ46" s="624" t="b">
        <f t="shared" si="5"/>
        <v>0</v>
      </c>
      <c r="BA46" s="624" t="b">
        <f t="shared" si="6"/>
        <v>0</v>
      </c>
      <c r="BB46" s="624" t="b">
        <f t="shared" si="7"/>
        <v>0</v>
      </c>
      <c r="BC46" s="624" t="b">
        <f t="shared" si="8"/>
        <v>0</v>
      </c>
      <c r="BD46" s="624" t="b">
        <f t="shared" si="9"/>
        <v>0</v>
      </c>
      <c r="BE46" s="624" t="b">
        <f t="shared" si="10"/>
        <v>0</v>
      </c>
      <c r="BF46" s="624" t="b">
        <f t="shared" si="11"/>
        <v>0</v>
      </c>
      <c r="BG46" s="624" t="b">
        <f t="shared" si="12"/>
        <v>0</v>
      </c>
      <c r="BH46" s="624">
        <f t="shared" si="13"/>
        <v>22.5</v>
      </c>
      <c r="BI46" s="624" t="b">
        <f t="shared" si="14"/>
        <v>0</v>
      </c>
      <c r="BJ46" s="624" t="b">
        <f t="shared" si="15"/>
        <v>0</v>
      </c>
      <c r="BK46" s="624" t="b">
        <f t="shared" si="16"/>
        <v>0</v>
      </c>
      <c r="BL46" s="624" t="b">
        <f t="shared" si="17"/>
        <v>0</v>
      </c>
      <c r="BM46" s="624" t="b">
        <f t="shared" si="18"/>
        <v>0</v>
      </c>
      <c r="BN46" s="624" t="b">
        <f t="shared" si="19"/>
        <v>0</v>
      </c>
      <c r="BO46" s="624" t="b">
        <f t="shared" si="20"/>
        <v>0</v>
      </c>
      <c r="BP46" s="624" t="b">
        <f t="shared" si="21"/>
        <v>0</v>
      </c>
      <c r="BQ46" s="624" t="b">
        <f t="shared" si="22"/>
        <v>0</v>
      </c>
    </row>
    <row r="47" spans="1:69">
      <c r="A47" s="1086">
        <v>22</v>
      </c>
      <c r="B47" s="872" t="s">
        <v>21</v>
      </c>
      <c r="C47" s="873" t="s">
        <v>621</v>
      </c>
      <c r="D47" s="636" t="s">
        <v>628</v>
      </c>
      <c r="E47" s="645">
        <v>2</v>
      </c>
      <c r="F47" s="872">
        <v>1985</v>
      </c>
      <c r="G47" s="872">
        <v>150</v>
      </c>
      <c r="H47" s="644"/>
      <c r="I47" s="635"/>
      <c r="J47" s="644">
        <f>IF(F47&lt;=1966,'Założenia,wskaźniki, listy'!$H$4,IF(F47&gt;1966,IF(F47&lt;=1985,'Założenia,wskaźniki, listy'!$H$5,IF(F47&gt;1985,IF(F47&lt;=1992,'Założenia,wskaźniki, listy'!$H$6,IF(F47&gt;1992,IF(F47&lt;=1996,'Założenia,wskaźniki, listy'!$H$7,IF(F47&gt;1996,IF(F47&lt;=2015,'Założenia,wskaźniki, listy'!$H$8)))))))))</f>
        <v>250</v>
      </c>
      <c r="K47" s="864" t="s">
        <v>33</v>
      </c>
      <c r="L47" s="872" t="s">
        <v>8</v>
      </c>
      <c r="M47" s="872">
        <v>2.5</v>
      </c>
      <c r="N47" s="644"/>
      <c r="O47" s="637">
        <f t="shared" si="23"/>
        <v>82.262500000000003</v>
      </c>
      <c r="P47" s="646">
        <f>IF(K47="kompletna",J47*G47*0.0036*'Założenia,wskaźniki, listy'!$P$9,IF(K47="częściowa",J47*G47*0.0036*'Założenia,wskaźniki, listy'!$P$10,IF(K47="brak",J47*G47*0.0036*'Założenia,wskaźniki, listy'!$P$11,0)))</f>
        <v>108</v>
      </c>
      <c r="Q47" s="638">
        <f>H47*'Założenia,wskaźniki, listy'!$L$15</f>
        <v>0</v>
      </c>
      <c r="R47" s="635">
        <f>IF(L47="węgiel",'Mieszkalne - baza'!M47*'Założenia,wskaźniki, listy'!$B$4,IF(L47="gaz",'Mieszkalne - baza'!M47*'Założenia,wskaźniki, listy'!$B$5,IF(L47="drewno",'Mieszkalne - baza'!M47*'Założenia,wskaźniki, listy'!$B$6,IF(L47="pelet",'Mieszkalne - baza'!M47*'Założenia,wskaźniki, listy'!$B$7,IF(L47="olej opałowy",'Mieszkalne - baza'!M47*'Założenia,wskaźniki, listy'!$B$8,IF(L47="sieć ciepłownicza",0,0))))))</f>
        <v>56.524999999999999</v>
      </c>
      <c r="S47" s="1084">
        <v>2.0304000000000002</v>
      </c>
      <c r="T47" s="639">
        <f>IF(L47="węgiel",R47*'Założenia,wskaźniki, listy'!$C$44,IF(L47="gaz",R47*'Założenia,wskaźniki, listy'!$D$44,IF(L47="drewno",R47*'Założenia,wskaźniki, listy'!$E$44,IF(L47="pelet",R47*'Założenia,wskaźniki, listy'!$F$44,IF(L47="olej opałowy",R47*'Założenia,wskaźniki, listy'!$G$44,IF(L47="sieć ciepłownicza",0,IF(L47="prąd",0,0)))))))</f>
        <v>1.2718124999999999E-2</v>
      </c>
      <c r="U47" s="639">
        <f>IF(L47="węgiel",R47*'Założenia,wskaźniki, listy'!$C$45,IF(L47="gaz",R47*'Założenia,wskaźniki, listy'!$D$45,IF(L47="drewno",R47*'Założenia,wskaźniki, listy'!$E$45,IF(L47="pelet",R47*'Założenia,wskaźniki, listy'!$F$45,IF(L47="olej opałowy",R47*'Założenia,wskaźniki, listy'!$G$45,IF(L47="sieć ciepłownicza",0,IF(L47="prąd",0,0)))))))</f>
        <v>1.1361525000000001E-2</v>
      </c>
      <c r="V47" s="639">
        <f>IF(L47="węgiel",R47*'Założenia,wskaźniki, listy'!$C$46,IF(L47="gaz",R47*'Założenia,wskaźniki, listy'!$D$46,IF(L47="drewno",R47*'Założenia,wskaźniki, listy'!$E$46,IF(L47="pelet",R47*'Założenia,wskaźniki, listy'!$F$46,IF(L47="olej opałowy",R47*'Założenia,wskaźniki, listy'!$G$46,IF(L47="sieć ciepłownicza",R47*'Założenia,wskaźniki, listy'!$H$46,IF(L47="prąd",R47*'Założenia,wskaźniki, listy'!$I$46,0)))))))</f>
        <v>5.2986534999999995</v>
      </c>
      <c r="W47" s="639">
        <f>IF(L47="węgiel",R47*'Założenia,wskaźniki, listy'!$C$47,IF(L47="gaz",R47*'Założenia,wskaźniki, listy'!$D$47,IF(L47="drewno",R47*'Założenia,wskaźniki, listy'!$E$47,IF(L47="pelet",R47*'Założenia,wskaźniki, listy'!$F$47,IF(L47="olej opałowy",R47*'Założenia,wskaźniki, listy'!$G$47,IF(L47="sieć ciepłownicza",0,IF(L47="prąd",0,0)))))))</f>
        <v>1.526175E-5</v>
      </c>
      <c r="X47" s="639">
        <f>IF(L47="węgiel",R47*'Założenia,wskaźniki, listy'!$C$48, IF(L47="gaz",R47*'Założenia,wskaźniki, listy'!$D$48,IF(L47="drewno",R47*'Założenia,wskaźniki, listy'!$E$48,IF(L47="pelet",R47*'Założenia,wskaźniki, listy'!$F$48,IF(L47="olej opałowy",R47*'Założenia,wskaźniki, listy'!$G$48,IF(L47="sieć ciepłownicza",0,IF(L47="prąd",0,0)))))))</f>
        <v>5.0872499999999994E-2</v>
      </c>
      <c r="Y47" s="639">
        <f>IF(L47="węgiel",R47*'Założenia,wskaźniki, listy'!$C$49, IF(L47="gaz",R47*'Założenia,wskaźniki, listy'!$D$49, IF(L47="drewno",R47*'Założenia,wskaźniki, listy'!$E$49,IF(L47="pelet",R47*'Założenia,wskaźniki, listy'!$F$49,IF(L47="olej opałowy",R47*'Założenia,wskaźniki, listy'!$G$49,IF(L47="sieć ciepłownicza",0,IF(L47="prąd",0,0)))))))</f>
        <v>8.93095E-3</v>
      </c>
      <c r="Z47" s="639">
        <f>IF(L47="węgiel",R47*'Założenia,wskaźniki, listy'!$C$50,IF(L47="gaz",R47*'Założenia,wskaźniki, listy'!$D$50, IF(L47="drewno",R47*'Założenia,wskaźniki, listy'!$E$50,IF(L47="pelet",R47*'Założenia,wskaźniki, listy'!$F$50,IF(L47="pelet",R47*'Założenia,wskaźniki, listy'!$F$50,IF(L47="olej opałowy",R47*'Założenia,wskaźniki, listy'!$G$50,IF(L47="sieć ciepłownicza",0,IF(L47="prąd",0,0))))))))</f>
        <v>0.11370697362539113</v>
      </c>
      <c r="AA47" s="639">
        <f>IF(N47="węgiel",Q47*'Założenia,wskaźniki, listy'!$C$44,IF(N47="gaz",Q47*'Założenia,wskaźniki, listy'!$D$44,IF(N47="drewno",Q47*'Założenia,wskaźniki, listy'!$E$44,IF(N47="pelet",Q47*'Założenia,wskaźniki, listy'!$G$44,IF(N47="olej opałowy",Q47*'Założenia,wskaźniki, listy'!$G$44,IF(N47="sieć ciepłownicza",0,IF(N47="prąd",0,0)))))))</f>
        <v>0</v>
      </c>
      <c r="AB47" s="639">
        <f>IF(N47="węgiel",Q47*'Założenia,wskaźniki, listy'!$C$45,IF(N47="gaz",Q47*'Założenia,wskaźniki, listy'!$D$45,IF(N47="drewno",Q47*'Założenia,wskaźniki, listy'!$E$45,IF(N47="pelet",Q47*'Założenia,wskaźniki, listy'!$G$45,IF(N47="olej opałowy",Q47*'Założenia,wskaźniki, listy'!$G$45,IF(N47="sieć ciepłownicza",0,IF(N47="prąd",0,0)))))))</f>
        <v>0</v>
      </c>
      <c r="AC47" s="639">
        <f>IF(N47="węgiel",Q47*'Założenia,wskaźniki, listy'!$C$46,IF(N47="gaz",Q47*'Założenia,wskaźniki, listy'!$D$46,IF(N47="drewno",Q47*'Założenia,wskaźniki, listy'!$E$46,IF(N47="pelet",Q47*'Założenia,wskaźniki, listy'!$G$46,IF(N47="olej opałowy",Q47*'Założenia,wskaźniki, listy'!$G$46,IF(N47="sieć ciepłownicza",0,IF(N47="prąd",0,0)))))))</f>
        <v>0</v>
      </c>
      <c r="AD47" s="639">
        <f>IF(N47="węgiel",Q47*'Założenia,wskaźniki, listy'!$C$47,IF(N47="gaz",Q47*'Założenia,wskaźniki, listy'!$D$47,IF(N47="drewno",Q47*'Założenia,wskaźniki, listy'!$E$47,IF(N47="pelet",Q47*'Założenia,wskaźniki, listy'!$G$47,IF(N47="olej opałowy",Q47*'Założenia,wskaźniki, listy'!$G$47,IF(N47="sieć ciepłownicza",0,IF(N47="prąd",0,0)))))))</f>
        <v>0</v>
      </c>
      <c r="AE47" s="639">
        <f>IF(N47="węgiel",Q47*'Założenia,wskaźniki, listy'!$C$48,IF(N47="gaz",Q47*'Założenia,wskaźniki, listy'!$D$48,IF(N47="drewno",Q47*'Założenia,wskaźniki, listy'!$E$48,IF(N47="pelet",Q47*'Założenia,wskaźniki, listy'!$G$48,IF(N47="olej opałowy",Q47*'Założenia,wskaźniki, listy'!$G$48,IF(N47="sieć ciepłownicza",0,IF(N47="prąd",0,0)))))))</f>
        <v>0</v>
      </c>
      <c r="AF47" s="639">
        <f>IF(N47="węgiel",Q47*'Założenia,wskaźniki, listy'!$C$49,IF(N47="gaz",Q47*'Założenia,wskaźniki, listy'!$D$49,IF(N47="drewno",Q47*'Założenia,wskaźniki, listy'!$E$49,IF(N47="pelet",Q47*'Założenia,wskaźniki, listy'!$G$49,IF(N47="olej opałowy",Q47*'Założenia,wskaźniki, listy'!$G$49,IF(N47="sieć ciepłownicza",0,IF(N47="prąd",0,0)))))))</f>
        <v>0</v>
      </c>
      <c r="AG47" s="639">
        <f>IF(N47="węgiel",Q47*'Założenia,wskaźniki, listy'!$C$50,IF(N47="gaz",Q47*'Założenia,wskaźniki, listy'!$D$50,IF(N47="drewno",Q47*'Założenia,wskaźniki, listy'!$E$50,IF(N47="pelet",Q47*'Założenia,wskaźniki, listy'!$G$50,IF(N47="olej opałowy",Q47*'Założenia,wskaźniki, listy'!$G$50,IF(N47="sieć ciepłownicza",0,IF(N47="prąd",0,0)))))))</f>
        <v>0</v>
      </c>
      <c r="AH47" s="640">
        <f>IF(L47="węgiel",(P47+R47)/2*'Założenia,wskaźniki, listy'!$C$4,IF(L47="gaz",(P47+R47)/2*'Założenia,wskaźniki, listy'!$C$5,IF(L47="drewno",(P47+R47)/2*'Założenia,wskaźniki, listy'!$C$6,IF(L47="pelet",(P47+R47)/2*'Założenia,wskaźniki, listy'!$C$7,IF(L47="olej opałowy",(P47+R47)/2*'Założenia,wskaźniki, listy'!$C$8,IF(L47="sieć ciepłownicza",(P47+R47)/2*'Założenia,wskaźniki, listy'!$C$9,IF(L47="sieć ciepłownicza",(P47+R47)/2*'Założenia,wskaźniki, listy'!$C$10,)))))))</f>
        <v>3372.7625000000003</v>
      </c>
      <c r="AI47" s="640">
        <f>IF(N47="węgiel",Q47*'Założenia,wskaźniki, listy'!$C$4,IF(N47="gaz",Q47*'Założenia,wskaźniki, listy'!$C$5,IF(N47="drewno",Q47*'Założenia,wskaźniki, listy'!$C$6,IF(N47="pelet",Q47*'Założenia,wskaźniki, listy'!$C$7,IF(N47="olej opałowy",Q47*'Założenia,wskaźniki, listy'!$C$8,IF(N47="sieć ciepłownicza",Q47*'Założenia,wskaźniki, listy'!$C$9,IF(N47="sieć ciepłownicza",Q47*'Założenia,wskaźniki, listy'!$C$10,0)))))))</f>
        <v>0</v>
      </c>
      <c r="AJ47" s="640">
        <f>S47*'Założenia,wskaźniki, listy'!$B$64*1000</f>
        <v>1441.5840000000001</v>
      </c>
      <c r="AK47" s="640">
        <f>(H47+I47)*'Założenia,wskaźniki, listy'!$D$64*12</f>
        <v>0</v>
      </c>
      <c r="AL47" s="640">
        <f>AK47*'Założenia,wskaźniki, listy'!$F$64</f>
        <v>0</v>
      </c>
      <c r="AM47" s="639">
        <f t="shared" si="95"/>
        <v>1.2718124999999999E-2</v>
      </c>
      <c r="AN47" s="639">
        <f t="shared" si="96"/>
        <v>1.1361525000000001E-2</v>
      </c>
      <c r="AO47" s="639">
        <f>V47+AC47+S47*'Założenia,wskaźniki, listy'!$J$46</f>
        <v>6.9869310999999996</v>
      </c>
      <c r="AP47" s="639">
        <f t="shared" si="97"/>
        <v>1.526175E-5</v>
      </c>
      <c r="AQ47" s="639">
        <f t="shared" si="98"/>
        <v>5.0872499999999994E-2</v>
      </c>
      <c r="AR47" s="639">
        <f t="shared" si="99"/>
        <v>8.93095E-3</v>
      </c>
      <c r="AS47" s="639">
        <f t="shared" si="100"/>
        <v>0.11370697362539113</v>
      </c>
      <c r="AT47" s="647"/>
      <c r="AU47" s="647"/>
      <c r="AV47" s="624" t="b">
        <f t="shared" si="1"/>
        <v>0</v>
      </c>
      <c r="AW47" s="624">
        <f t="shared" si="2"/>
        <v>0</v>
      </c>
      <c r="AX47" s="624">
        <f t="shared" si="3"/>
        <v>150</v>
      </c>
      <c r="AY47" s="624">
        <f t="shared" si="4"/>
        <v>75</v>
      </c>
      <c r="AZ47" s="624" t="b">
        <f t="shared" si="5"/>
        <v>0</v>
      </c>
      <c r="BA47" s="624">
        <f t="shared" si="6"/>
        <v>0</v>
      </c>
      <c r="BB47" s="624" t="b">
        <f t="shared" si="7"/>
        <v>0</v>
      </c>
      <c r="BC47" s="624">
        <f t="shared" si="8"/>
        <v>0</v>
      </c>
      <c r="BD47" s="624" t="b">
        <f t="shared" si="9"/>
        <v>0</v>
      </c>
      <c r="BE47" s="624">
        <f t="shared" si="10"/>
        <v>0</v>
      </c>
      <c r="BF47" s="624">
        <f t="shared" si="11"/>
        <v>56.524999999999999</v>
      </c>
      <c r="BG47" s="624" t="b">
        <f t="shared" si="12"/>
        <v>0</v>
      </c>
      <c r="BH47" s="624" t="b">
        <f t="shared" si="13"/>
        <v>0</v>
      </c>
      <c r="BI47" s="624" t="b">
        <f t="shared" si="14"/>
        <v>0</v>
      </c>
      <c r="BJ47" s="624" t="b">
        <f t="shared" si="15"/>
        <v>0</v>
      </c>
      <c r="BK47" s="624" t="b">
        <f t="shared" si="16"/>
        <v>0</v>
      </c>
      <c r="BL47" s="624" t="b">
        <f t="shared" si="17"/>
        <v>0</v>
      </c>
      <c r="BM47" s="624" t="b">
        <f t="shared" si="18"/>
        <v>0</v>
      </c>
      <c r="BN47" s="624" t="b">
        <f t="shared" si="19"/>
        <v>0</v>
      </c>
      <c r="BO47" s="624" t="b">
        <f t="shared" si="20"/>
        <v>0</v>
      </c>
      <c r="BP47" s="624" t="b">
        <f t="shared" si="21"/>
        <v>0</v>
      </c>
      <c r="BQ47" s="624" t="b">
        <f t="shared" si="22"/>
        <v>0</v>
      </c>
    </row>
    <row r="48" spans="1:69">
      <c r="A48" s="1087"/>
      <c r="B48" s="872"/>
      <c r="C48" s="872"/>
      <c r="D48" s="645"/>
      <c r="E48" s="645"/>
      <c r="F48" s="644"/>
      <c r="G48" s="644"/>
      <c r="H48" s="644"/>
      <c r="I48" s="635"/>
      <c r="J48" s="644">
        <f>IF(F48&lt;=1966,'Założenia,wskaźniki, listy'!$H$4,IF(F48&gt;1966,IF(F48&lt;=1985,'Założenia,wskaźniki, listy'!$H$5,IF(F48&gt;1985,IF(F48&lt;=1992,'Założenia,wskaźniki, listy'!$H$6,IF(F48&gt;1992,IF(F48&lt;=1996,'Założenia,wskaźniki, listy'!$H$7,IF(F48&gt;1996,IF(F48&lt;=2015,'Założenia,wskaźniki, listy'!$H$8)))))))))</f>
        <v>290</v>
      </c>
      <c r="K48" s="644"/>
      <c r="L48" s="872" t="s">
        <v>79</v>
      </c>
      <c r="M48" s="872">
        <v>3</v>
      </c>
      <c r="N48" s="644"/>
      <c r="O48" s="637">
        <f t="shared" si="23"/>
        <v>45</v>
      </c>
      <c r="P48" s="646">
        <f>IF(K48="kompletna",J48*G48*0.0036*'Założenia,wskaźniki, listy'!$P$9,IF(K48="częściowa",J48*G48*0.0036*'Założenia,wskaźniki, listy'!$P$10,IF(K48="brak",J48*G48*0.0036*'Założenia,wskaźniki, listy'!$P$11,0)))</f>
        <v>0</v>
      </c>
      <c r="Q48" s="638">
        <f>H48*'Założenia,wskaźniki, listy'!$L$15</f>
        <v>0</v>
      </c>
      <c r="R48" s="635">
        <f>IF(L48="węgiel",'Mieszkalne - baza'!M48*'Założenia,wskaźniki, listy'!$B$4,IF(L48="gaz",'Mieszkalne - baza'!M48*'Założenia,wskaźniki, listy'!$B$5,IF(L48="drewno",'Mieszkalne - baza'!M48*'Założenia,wskaźniki, listy'!$B$6,IF(L48="pelet",'Mieszkalne - baza'!M48*'Założenia,wskaźniki, listy'!$B$7,IF(L48="olej opałowy",'Mieszkalne - baza'!M48*'Założenia,wskaźniki, listy'!$B$8,IF(L48="sieć ciepłownicza",0,0))))))</f>
        <v>45</v>
      </c>
      <c r="S48" s="1085"/>
      <c r="T48" s="639">
        <f>IF(L48="węgiel",R48*'Założenia,wskaźniki, listy'!$C$44,IF(L48="gaz",R48*'Założenia,wskaźniki, listy'!$D$44,IF(L48="drewno",R48*'Założenia,wskaźniki, listy'!$E$44,IF(L48="pelet",R48*'Założenia,wskaźniki, listy'!$F$44,IF(L48="olej opałowy",R48*'Założenia,wskaźniki, listy'!$G$44,IF(L48="sieć ciepłownicza",0,IF(L48="prąd",0,0)))))))</f>
        <v>2.1600000000000001E-2</v>
      </c>
      <c r="U48" s="639">
        <f>IF(L48="węgiel",R48*'Założenia,wskaźniki, listy'!$C$45,IF(L48="gaz",R48*'Założenia,wskaźniki, listy'!$D$45,IF(L48="drewno",R48*'Założenia,wskaźniki, listy'!$E$45,IF(L48="pelet",R48*'Założenia,wskaźniki, listy'!$F$45,IF(L48="olej opałowy",R48*'Założenia,wskaźniki, listy'!$G$45,IF(L48="sieć ciepłownicza",0,IF(L48="prąd",0,0)))))))</f>
        <v>2.1149999999999999E-2</v>
      </c>
      <c r="V48" s="639">
        <f>IF(L48="węgiel",R48*'Założenia,wskaźniki, listy'!$C$46,IF(L48="gaz",R48*'Założenia,wskaźniki, listy'!$D$46,IF(L48="drewno",R48*'Założenia,wskaźniki, listy'!$E$46,IF(L48="pelet",R48*'Założenia,wskaźniki, listy'!$F$46,IF(L48="olej opałowy",R48*'Założenia,wskaźniki, listy'!$G$46,IF(L48="sieć ciepłownicza",R48*'Założenia,wskaźniki, listy'!$H$46,IF(L48="prąd",R48*'Założenia,wskaźniki, listy'!$I$46,0)))))))</f>
        <v>0</v>
      </c>
      <c r="W48" s="639">
        <f>IF(L48="węgiel",R48*'Założenia,wskaźniki, listy'!$C$47,IF(L48="gaz",R48*'Założenia,wskaźniki, listy'!$D$47,IF(L48="drewno",R48*'Założenia,wskaźniki, listy'!$E$47,IF(L48="pelet",R48*'Założenia,wskaźniki, listy'!$F$47,IF(L48="olej opałowy",R48*'Założenia,wskaźniki, listy'!$G$47,IF(L48="sieć ciepłownicza",0,IF(L48="prąd",0,0)))))))</f>
        <v>5.4450000000000004E-6</v>
      </c>
      <c r="X48" s="639">
        <f>IF(L48="węgiel",R48*'Założenia,wskaźniki, listy'!$C$48, IF(L48="gaz",R48*'Założenia,wskaźniki, listy'!$D$48,IF(L48="drewno",R48*'Założenia,wskaźniki, listy'!$E$48,IF(L48="pelet",R48*'Założenia,wskaźniki, listy'!$F$48,IF(L48="olej opałowy",R48*'Założenia,wskaźniki, listy'!$G$48,IF(L48="sieć ciepłownicza",0,IF(L48="prąd",0,0)))))))</f>
        <v>4.95E-4</v>
      </c>
      <c r="Y48" s="639">
        <f>IF(L48="węgiel",R48*'Założenia,wskaźniki, listy'!$C$49, IF(L48="gaz",R48*'Założenia,wskaźniki, listy'!$D$49, IF(L48="drewno",R48*'Założenia,wskaźniki, listy'!$E$49,IF(L48="pelet",R48*'Założenia,wskaźniki, listy'!$F$49,IF(L48="olej opałowy",R48*'Założenia,wskaźniki, listy'!$G$49,IF(L48="sieć ciepłownicza",0,IF(L48="prąd",0,0)))))))</f>
        <v>3.6000000000000003E-3</v>
      </c>
      <c r="Z48" s="639">
        <f>IF(L48="węgiel",R48*'Założenia,wskaźniki, listy'!$C$50,IF(L48="gaz",R48*'Założenia,wskaźniki, listy'!$D$50, IF(L48="drewno",R48*'Założenia,wskaźniki, listy'!$E$50,IF(L48="pelet",R48*'Założenia,wskaźniki, listy'!$F$50,IF(L48="pelet",R48*'Założenia,wskaźniki, listy'!$F$50,IF(L48="olej opałowy",R48*'Założenia,wskaźniki, listy'!$G$50,IF(L48="sieć ciepłownicza",0,IF(L48="prąd",0,0))))))))</f>
        <v>8.0730000000000003E-3</v>
      </c>
      <c r="AA48" s="639">
        <f>IF(N48="węgiel",Q48*'Założenia,wskaźniki, listy'!$C$44,IF(N48="gaz",Q48*'Założenia,wskaźniki, listy'!$D$44,IF(N48="drewno",Q48*'Założenia,wskaźniki, listy'!$E$44,IF(N48="pelet",Q48*'Założenia,wskaźniki, listy'!$G$44,IF(N48="olej opałowy",Q48*'Założenia,wskaźniki, listy'!$G$44,IF(N48="sieć ciepłownicza",0,IF(N48="prąd",0,0)))))))</f>
        <v>0</v>
      </c>
      <c r="AB48" s="639">
        <f>IF(N48="węgiel",Q48*'Założenia,wskaźniki, listy'!$C$45,IF(N48="gaz",Q48*'Założenia,wskaźniki, listy'!$D$45,IF(N48="drewno",Q48*'Założenia,wskaźniki, listy'!$E$45,IF(N48="pelet",Q48*'Założenia,wskaźniki, listy'!$G$45,IF(N48="olej opałowy",Q48*'Założenia,wskaźniki, listy'!$G$45,IF(N48="sieć ciepłownicza",0,IF(N48="prąd",0,0)))))))</f>
        <v>0</v>
      </c>
      <c r="AC48" s="639">
        <f>IF(N48="węgiel",Q48*'Założenia,wskaźniki, listy'!$C$46,IF(N48="gaz",Q48*'Założenia,wskaźniki, listy'!$D$46,IF(N48="drewno",Q48*'Założenia,wskaźniki, listy'!$E$46,IF(N48="pelet",Q48*'Założenia,wskaźniki, listy'!$G$46,IF(N48="olej opałowy",Q48*'Założenia,wskaźniki, listy'!$G$46,IF(N48="sieć ciepłownicza",0,IF(N48="prąd",0,0)))))))</f>
        <v>0</v>
      </c>
      <c r="AD48" s="639">
        <f>IF(N48="węgiel",Q48*'Założenia,wskaźniki, listy'!$C$47,IF(N48="gaz",Q48*'Założenia,wskaźniki, listy'!$D$47,IF(N48="drewno",Q48*'Założenia,wskaźniki, listy'!$E$47,IF(N48="pelet",Q48*'Założenia,wskaźniki, listy'!$G$47,IF(N48="olej opałowy",Q48*'Założenia,wskaźniki, listy'!$G$47,IF(N48="sieć ciepłownicza",0,IF(N48="prąd",0,0)))))))</f>
        <v>0</v>
      </c>
      <c r="AE48" s="639">
        <f>IF(N48="węgiel",Q48*'Założenia,wskaźniki, listy'!$C$48,IF(N48="gaz",Q48*'Założenia,wskaźniki, listy'!$D$48,IF(N48="drewno",Q48*'Założenia,wskaźniki, listy'!$E$48,IF(N48="pelet",Q48*'Założenia,wskaźniki, listy'!$G$48,IF(N48="olej opałowy",Q48*'Założenia,wskaźniki, listy'!$G$48,IF(N48="sieć ciepłownicza",0,IF(N48="prąd",0,0)))))))</f>
        <v>0</v>
      </c>
      <c r="AF48" s="639">
        <f>IF(N48="węgiel",Q48*'Założenia,wskaźniki, listy'!$C$49,IF(N48="gaz",Q48*'Założenia,wskaźniki, listy'!$D$49,IF(N48="drewno",Q48*'Założenia,wskaźniki, listy'!$E$49,IF(N48="pelet",Q48*'Założenia,wskaźniki, listy'!$G$49,IF(N48="olej opałowy",Q48*'Założenia,wskaźniki, listy'!$G$49,IF(N48="sieć ciepłownicza",0,IF(N48="prąd",0,0)))))))</f>
        <v>0</v>
      </c>
      <c r="AG48" s="639">
        <f>IF(N48="węgiel",Q48*'Założenia,wskaźniki, listy'!$C$50,IF(N48="gaz",Q48*'Założenia,wskaźniki, listy'!$D$50,IF(N48="drewno",Q48*'Założenia,wskaźniki, listy'!$E$50,IF(N48="pelet",Q48*'Założenia,wskaźniki, listy'!$G$50,IF(N48="olej opałowy",Q48*'Założenia,wskaźniki, listy'!$G$50,IF(N48="sieć ciepłownicza",0,IF(N48="prąd",0,0)))))))</f>
        <v>0</v>
      </c>
      <c r="AH48" s="640">
        <f>IF(L48="węgiel",(P48+R48)/2*'Założenia,wskaźniki, listy'!$C$4,IF(L48="gaz",(P48+R48)/2*'Założenia,wskaźniki, listy'!$C$5,IF(L48="drewno",(P48+R48)/2*'Założenia,wskaźniki, listy'!$C$6,IF(L48="pelet",(P48+R48)/2*'Założenia,wskaźniki, listy'!$C$7,IF(L48="olej opałowy",(P48+R48)/2*'Założenia,wskaźniki, listy'!$C$8,IF(L48="sieć ciepłownicza",(P48+R48)/2*'Założenia,wskaźniki, listy'!$C$9,IF(L48="sieć ciepłownicza",(P48+R48)/2*'Założenia,wskaźniki, listy'!$C$10,)))))))</f>
        <v>855</v>
      </c>
      <c r="AI48" s="640">
        <f>IF(N48="węgiel",Q48*'Założenia,wskaźniki, listy'!$C$4,IF(N48="gaz",Q48*'Założenia,wskaźniki, listy'!$C$5,IF(N48="drewno",Q48*'Założenia,wskaźniki, listy'!$C$6,IF(N48="pelet",Q48*'Założenia,wskaźniki, listy'!$C$7,IF(N48="olej opałowy",Q48*'Założenia,wskaźniki, listy'!$C$8,IF(N48="sieć ciepłownicza",Q48*'Założenia,wskaźniki, listy'!$C$9,IF(N48="sieć ciepłownicza",Q48*'Założenia,wskaźniki, listy'!$C$10,0)))))))</f>
        <v>0</v>
      </c>
      <c r="AJ48" s="640">
        <f>S48*'Założenia,wskaźniki, listy'!$B$64*1000</f>
        <v>0</v>
      </c>
      <c r="AK48" s="640">
        <f>(H48+I48)*'Założenia,wskaźniki, listy'!$D$64*12</f>
        <v>0</v>
      </c>
      <c r="AL48" s="640">
        <f>AK48*'Założenia,wskaźniki, listy'!$F$64</f>
        <v>0</v>
      </c>
      <c r="AM48" s="639">
        <f t="shared" si="95"/>
        <v>2.1600000000000001E-2</v>
      </c>
      <c r="AN48" s="639">
        <f t="shared" si="96"/>
        <v>2.1149999999999999E-2</v>
      </c>
      <c r="AO48" s="639">
        <f>V48+AC48+S48*'Założenia,wskaźniki, listy'!$J$46</f>
        <v>0</v>
      </c>
      <c r="AP48" s="639">
        <f t="shared" si="97"/>
        <v>5.4450000000000004E-6</v>
      </c>
      <c r="AQ48" s="639">
        <f t="shared" si="98"/>
        <v>4.95E-4</v>
      </c>
      <c r="AR48" s="639">
        <f t="shared" si="99"/>
        <v>3.6000000000000003E-3</v>
      </c>
      <c r="AS48" s="639">
        <f t="shared" si="100"/>
        <v>8.0730000000000003E-3</v>
      </c>
      <c r="AT48" s="647"/>
      <c r="AU48" s="647"/>
      <c r="AV48" s="624">
        <f t="shared" si="1"/>
        <v>0</v>
      </c>
      <c r="AW48" s="624" t="b">
        <f t="shared" si="2"/>
        <v>0</v>
      </c>
      <c r="AX48" s="624" t="b">
        <f t="shared" si="3"/>
        <v>0</v>
      </c>
      <c r="AY48" s="624" t="b">
        <f t="shared" si="4"/>
        <v>0</v>
      </c>
      <c r="AZ48" s="624" t="b">
        <f t="shared" si="5"/>
        <v>0</v>
      </c>
      <c r="BA48" s="624" t="b">
        <f t="shared" si="6"/>
        <v>0</v>
      </c>
      <c r="BB48" s="624" t="b">
        <f t="shared" si="7"/>
        <v>0</v>
      </c>
      <c r="BC48" s="624" t="b">
        <f t="shared" si="8"/>
        <v>0</v>
      </c>
      <c r="BD48" s="624" t="b">
        <f t="shared" si="9"/>
        <v>0</v>
      </c>
      <c r="BE48" s="624" t="b">
        <f t="shared" si="10"/>
        <v>0</v>
      </c>
      <c r="BF48" s="624" t="b">
        <f t="shared" si="11"/>
        <v>0</v>
      </c>
      <c r="BG48" s="624" t="b">
        <f t="shared" si="12"/>
        <v>0</v>
      </c>
      <c r="BH48" s="624">
        <f t="shared" si="13"/>
        <v>45</v>
      </c>
      <c r="BI48" s="624" t="b">
        <f t="shared" si="14"/>
        <v>0</v>
      </c>
      <c r="BJ48" s="624" t="b">
        <f t="shared" si="15"/>
        <v>0</v>
      </c>
      <c r="BK48" s="624" t="b">
        <f t="shared" si="16"/>
        <v>0</v>
      </c>
      <c r="BL48" s="624" t="b">
        <f t="shared" si="17"/>
        <v>0</v>
      </c>
      <c r="BM48" s="624" t="b">
        <f t="shared" si="18"/>
        <v>0</v>
      </c>
      <c r="BN48" s="624" t="b">
        <f t="shared" si="19"/>
        <v>0</v>
      </c>
      <c r="BO48" s="624" t="b">
        <f t="shared" si="20"/>
        <v>0</v>
      </c>
      <c r="BP48" s="624" t="b">
        <f t="shared" si="21"/>
        <v>0</v>
      </c>
      <c r="BQ48" s="624" t="b">
        <f t="shared" si="22"/>
        <v>0</v>
      </c>
    </row>
    <row r="49" spans="1:69">
      <c r="A49" s="1086">
        <v>23</v>
      </c>
      <c r="B49" s="872" t="s">
        <v>21</v>
      </c>
      <c r="C49" s="873" t="s">
        <v>621</v>
      </c>
      <c r="D49" s="636" t="s">
        <v>628</v>
      </c>
      <c r="E49" s="645">
        <v>28</v>
      </c>
      <c r="F49" s="644">
        <v>1958</v>
      </c>
      <c r="G49" s="644">
        <v>60</v>
      </c>
      <c r="H49" s="644"/>
      <c r="I49" s="635"/>
      <c r="J49" s="644">
        <f>IF(F49&lt;=1966,'Założenia,wskaźniki, listy'!$H$4,IF(F49&gt;1966,IF(F49&lt;=1985,'Założenia,wskaźniki, listy'!$H$5,IF(F49&gt;1985,IF(F49&lt;=1992,'Założenia,wskaźniki, listy'!$H$6,IF(F49&gt;1992,IF(F49&lt;=1996,'Założenia,wskaźniki, listy'!$H$7,IF(F49&gt;1996,IF(F49&lt;=2015,'Założenia,wskaźniki, listy'!$H$8)))))))))</f>
        <v>290</v>
      </c>
      <c r="K49" s="864" t="s">
        <v>31</v>
      </c>
      <c r="L49" s="644" t="s">
        <v>8</v>
      </c>
      <c r="M49" s="644">
        <v>2.5</v>
      </c>
      <c r="N49" s="644"/>
      <c r="O49" s="637">
        <f t="shared" si="23"/>
        <v>59.582499999999996</v>
      </c>
      <c r="P49" s="646">
        <f>IF(K49="kompletna",J49*G49*0.0036*'Założenia,wskaźniki, listy'!$P$9,IF(K49="częściowa",J49*G49*0.0036*'Założenia,wskaźniki, listy'!$P$10,IF(K49="brak",J49*G49*0.0036*'Założenia,wskaźniki, listy'!$P$11,0)))</f>
        <v>62.64</v>
      </c>
      <c r="Q49" s="638">
        <f>H49*'Założenia,wskaźniki, listy'!$L$15</f>
        <v>0</v>
      </c>
      <c r="R49" s="635">
        <f>IF(L49="węgiel",'Mieszkalne - baza'!M49*'Założenia,wskaźniki, listy'!$B$4,IF(L49="gaz",'Mieszkalne - baza'!M49*'Założenia,wskaźniki, listy'!$B$5,IF(L49="drewno",'Mieszkalne - baza'!M49*'Założenia,wskaźniki, listy'!$B$6,IF(L49="pelet",'Mieszkalne - baza'!M49*'Założenia,wskaźniki, listy'!$B$7,IF(L49="olej opałowy",'Mieszkalne - baza'!M49*'Założenia,wskaźniki, listy'!$B$8,IF(L49="sieć ciepłownicza",0,0))))))</f>
        <v>56.524999999999999</v>
      </c>
      <c r="S49" s="1084">
        <v>2.2560000000000002</v>
      </c>
      <c r="T49" s="639">
        <f>IF(L49="węgiel",R49*'Założenia,wskaźniki, listy'!$C$44,IF(L49="gaz",R49*'Założenia,wskaźniki, listy'!$D$44,IF(L49="drewno",R49*'Założenia,wskaźniki, listy'!$E$44,IF(L49="pelet",R49*'Założenia,wskaźniki, listy'!$F$44,IF(L49="olej opałowy",R49*'Założenia,wskaźniki, listy'!$G$44,IF(L49="sieć ciepłownicza",0,IF(L49="prąd",0,0)))))))</f>
        <v>1.2718124999999999E-2</v>
      </c>
      <c r="U49" s="639">
        <f>IF(L49="węgiel",R49*'Założenia,wskaźniki, listy'!$C$45,IF(L49="gaz",R49*'Założenia,wskaźniki, listy'!$D$45,IF(L49="drewno",R49*'Założenia,wskaźniki, listy'!$E$45,IF(L49="pelet",R49*'Założenia,wskaźniki, listy'!$F$45,IF(L49="olej opałowy",R49*'Założenia,wskaźniki, listy'!$G$45,IF(L49="sieć ciepłownicza",0,IF(L49="prąd",0,0)))))))</f>
        <v>1.1361525000000001E-2</v>
      </c>
      <c r="V49" s="639">
        <f>IF(L49="węgiel",R49*'Założenia,wskaźniki, listy'!$C$46,IF(L49="gaz",R49*'Założenia,wskaźniki, listy'!$D$46,IF(L49="drewno",R49*'Założenia,wskaźniki, listy'!$E$46,IF(L49="pelet",R49*'Założenia,wskaźniki, listy'!$F$46,IF(L49="olej opałowy",R49*'Założenia,wskaźniki, listy'!$G$46,IF(L49="sieć ciepłownicza",R49*'Założenia,wskaźniki, listy'!$H$46,IF(L49="prąd",R49*'Założenia,wskaźniki, listy'!$I$46,0)))))))</f>
        <v>5.2986534999999995</v>
      </c>
      <c r="W49" s="639">
        <f>IF(L49="węgiel",R49*'Założenia,wskaźniki, listy'!$C$47,IF(L49="gaz",R49*'Założenia,wskaźniki, listy'!$D$47,IF(L49="drewno",R49*'Założenia,wskaźniki, listy'!$E$47,IF(L49="pelet",R49*'Założenia,wskaźniki, listy'!$F$47,IF(L49="olej opałowy",R49*'Założenia,wskaźniki, listy'!$G$47,IF(L49="sieć ciepłownicza",0,IF(L49="prąd",0,0)))))))</f>
        <v>1.526175E-5</v>
      </c>
      <c r="X49" s="639">
        <f>IF(L49="węgiel",R49*'Założenia,wskaźniki, listy'!$C$48, IF(L49="gaz",R49*'Założenia,wskaźniki, listy'!$D$48,IF(L49="drewno",R49*'Założenia,wskaźniki, listy'!$E$48,IF(L49="pelet",R49*'Założenia,wskaźniki, listy'!$F$48,IF(L49="olej opałowy",R49*'Założenia,wskaźniki, listy'!$G$48,IF(L49="sieć ciepłownicza",0,IF(L49="prąd",0,0)))))))</f>
        <v>5.0872499999999994E-2</v>
      </c>
      <c r="Y49" s="639">
        <f>IF(L49="węgiel",R49*'Założenia,wskaźniki, listy'!$C$49, IF(L49="gaz",R49*'Założenia,wskaźniki, listy'!$D$49, IF(L49="drewno",R49*'Założenia,wskaźniki, listy'!$E$49,IF(L49="pelet",R49*'Założenia,wskaźniki, listy'!$F$49,IF(L49="olej opałowy",R49*'Założenia,wskaźniki, listy'!$G$49,IF(L49="sieć ciepłownicza",0,IF(L49="prąd",0,0)))))))</f>
        <v>8.93095E-3</v>
      </c>
      <c r="Z49" s="639">
        <f>IF(L49="węgiel",R49*'Założenia,wskaźniki, listy'!$C$50,IF(L49="gaz",R49*'Założenia,wskaźniki, listy'!$D$50, IF(L49="drewno",R49*'Założenia,wskaźniki, listy'!$E$50,IF(L49="pelet",R49*'Założenia,wskaźniki, listy'!$F$50,IF(L49="pelet",R49*'Założenia,wskaźniki, listy'!$F$50,IF(L49="olej opałowy",R49*'Założenia,wskaźniki, listy'!$G$50,IF(L49="sieć ciepłownicza",0,IF(L49="prąd",0,0))))))))</f>
        <v>0.11370697362539113</v>
      </c>
      <c r="AA49" s="639">
        <f>IF(N49="węgiel",Q49*'Założenia,wskaźniki, listy'!$C$44,IF(N49="gaz",Q49*'Założenia,wskaźniki, listy'!$D$44,IF(N49="drewno",Q49*'Założenia,wskaźniki, listy'!$E$44,IF(N49="pelet",Q49*'Założenia,wskaźniki, listy'!$G$44,IF(N49="olej opałowy",Q49*'Założenia,wskaźniki, listy'!$G$44,IF(N49="sieć ciepłownicza",0,IF(N49="prąd",0,0)))))))</f>
        <v>0</v>
      </c>
      <c r="AB49" s="639">
        <f>IF(N49="węgiel",Q49*'Założenia,wskaźniki, listy'!$C$45,IF(N49="gaz",Q49*'Założenia,wskaźniki, listy'!$D$45,IF(N49="drewno",Q49*'Założenia,wskaźniki, listy'!$E$45,IF(N49="pelet",Q49*'Założenia,wskaźniki, listy'!$G$45,IF(N49="olej opałowy",Q49*'Założenia,wskaźniki, listy'!$G$45,IF(N49="sieć ciepłownicza",0,IF(N49="prąd",0,0)))))))</f>
        <v>0</v>
      </c>
      <c r="AC49" s="639">
        <f>IF(N49="węgiel",Q49*'Założenia,wskaźniki, listy'!$C$46,IF(N49="gaz",Q49*'Założenia,wskaźniki, listy'!$D$46,IF(N49="drewno",Q49*'Założenia,wskaźniki, listy'!$E$46,IF(N49="pelet",Q49*'Założenia,wskaźniki, listy'!$G$46,IF(N49="olej opałowy",Q49*'Założenia,wskaźniki, listy'!$G$46,IF(N49="sieć ciepłownicza",0,IF(N49="prąd",0,0)))))))</f>
        <v>0</v>
      </c>
      <c r="AD49" s="639">
        <f>IF(N49="węgiel",Q49*'Założenia,wskaźniki, listy'!$C$47,IF(N49="gaz",Q49*'Założenia,wskaźniki, listy'!$D$47,IF(N49="drewno",Q49*'Założenia,wskaźniki, listy'!$E$47,IF(N49="pelet",Q49*'Założenia,wskaźniki, listy'!$G$47,IF(N49="olej opałowy",Q49*'Założenia,wskaźniki, listy'!$G$47,IF(N49="sieć ciepłownicza",0,IF(N49="prąd",0,0)))))))</f>
        <v>0</v>
      </c>
      <c r="AE49" s="639">
        <f>IF(N49="węgiel",Q49*'Założenia,wskaźniki, listy'!$C$48,IF(N49="gaz",Q49*'Założenia,wskaźniki, listy'!$D$48,IF(N49="drewno",Q49*'Założenia,wskaźniki, listy'!$E$48,IF(N49="pelet",Q49*'Założenia,wskaźniki, listy'!$G$48,IF(N49="olej opałowy",Q49*'Założenia,wskaźniki, listy'!$G$48,IF(N49="sieć ciepłownicza",0,IF(N49="prąd",0,0)))))))</f>
        <v>0</v>
      </c>
      <c r="AF49" s="639">
        <f>IF(N49="węgiel",Q49*'Założenia,wskaźniki, listy'!$C$49,IF(N49="gaz",Q49*'Założenia,wskaźniki, listy'!$D$49,IF(N49="drewno",Q49*'Założenia,wskaźniki, listy'!$E$49,IF(N49="pelet",Q49*'Założenia,wskaźniki, listy'!$G$49,IF(N49="olej opałowy",Q49*'Założenia,wskaźniki, listy'!$G$49,IF(N49="sieć ciepłownicza",0,IF(N49="prąd",0,0)))))))</f>
        <v>0</v>
      </c>
      <c r="AG49" s="639">
        <f>IF(N49="węgiel",Q49*'Założenia,wskaźniki, listy'!$C$50,IF(N49="gaz",Q49*'Założenia,wskaźniki, listy'!$D$50,IF(N49="drewno",Q49*'Założenia,wskaźniki, listy'!$E$50,IF(N49="pelet",Q49*'Założenia,wskaźniki, listy'!$G$50,IF(N49="olej opałowy",Q49*'Założenia,wskaźniki, listy'!$G$50,IF(N49="sieć ciepłownicza",0,IF(N49="prąd",0,0)))))))</f>
        <v>0</v>
      </c>
      <c r="AH49" s="640">
        <f>IF(L49="węgiel",(P49+R49)/2*'Założenia,wskaźniki, listy'!$C$4,IF(L49="gaz",(P49+R49)/2*'Założenia,wskaźniki, listy'!$C$5,IF(L49="drewno",(P49+R49)/2*'Założenia,wskaźniki, listy'!$C$6,IF(L49="pelet",(P49+R49)/2*'Założenia,wskaźniki, listy'!$C$7,IF(L49="olej opałowy",(P49+R49)/2*'Założenia,wskaźniki, listy'!$C$8,IF(L49="sieć ciepłownicza",(P49+R49)/2*'Założenia,wskaźniki, listy'!$C$9,IF(L49="sieć ciepłownicza",(P49+R49)/2*'Założenia,wskaźniki, listy'!$C$10,)))))))</f>
        <v>2442.8824999999997</v>
      </c>
      <c r="AI49" s="640">
        <f>IF(N49="węgiel",Q49*'Założenia,wskaźniki, listy'!$C$4,IF(N49="gaz",Q49*'Założenia,wskaźniki, listy'!$C$5,IF(N49="drewno",Q49*'Założenia,wskaźniki, listy'!$C$6,IF(N49="pelet",Q49*'Założenia,wskaźniki, listy'!$C$7,IF(N49="olej opałowy",Q49*'Założenia,wskaźniki, listy'!$C$8,IF(N49="sieć ciepłownicza",Q49*'Założenia,wskaźniki, listy'!$C$9,IF(N49="sieć ciepłownicza",Q49*'Założenia,wskaźniki, listy'!$C$10,0)))))))</f>
        <v>0</v>
      </c>
      <c r="AJ49" s="640">
        <f>S49*'Założenia,wskaźniki, listy'!$B$64*1000</f>
        <v>1601.76</v>
      </c>
      <c r="AK49" s="640">
        <f>(H49+I49)*'Założenia,wskaźniki, listy'!$D$64*12</f>
        <v>0</v>
      </c>
      <c r="AL49" s="640">
        <f>AK49*'Założenia,wskaźniki, listy'!$F$64</f>
        <v>0</v>
      </c>
      <c r="AM49" s="639">
        <f t="shared" si="95"/>
        <v>1.2718124999999999E-2</v>
      </c>
      <c r="AN49" s="639">
        <f t="shared" si="96"/>
        <v>1.1361525000000001E-2</v>
      </c>
      <c r="AO49" s="639">
        <f>V49+AC49+S49*'Założenia,wskaźniki, listy'!$J$46</f>
        <v>7.1745174999999994</v>
      </c>
      <c r="AP49" s="639">
        <f t="shared" si="97"/>
        <v>1.526175E-5</v>
      </c>
      <c r="AQ49" s="639">
        <f t="shared" si="98"/>
        <v>5.0872499999999994E-2</v>
      </c>
      <c r="AR49" s="639">
        <f t="shared" si="99"/>
        <v>8.93095E-3</v>
      </c>
      <c r="AS49" s="639">
        <f t="shared" si="100"/>
        <v>0.11370697362539113</v>
      </c>
      <c r="AT49" s="647"/>
      <c r="AU49" s="647"/>
      <c r="AV49" s="624">
        <f t="shared" si="1"/>
        <v>60</v>
      </c>
      <c r="AW49" s="624" t="b">
        <f t="shared" si="2"/>
        <v>0</v>
      </c>
      <c r="AX49" s="624" t="b">
        <f t="shared" si="3"/>
        <v>0</v>
      </c>
      <c r="AY49" s="624" t="b">
        <f t="shared" si="4"/>
        <v>0</v>
      </c>
      <c r="AZ49" s="624" t="b">
        <f t="shared" si="5"/>
        <v>0</v>
      </c>
      <c r="BA49" s="624" t="b">
        <f t="shared" si="6"/>
        <v>0</v>
      </c>
      <c r="BB49" s="624" t="b">
        <f t="shared" si="7"/>
        <v>0</v>
      </c>
      <c r="BC49" s="624" t="b">
        <f t="shared" si="8"/>
        <v>0</v>
      </c>
      <c r="BD49" s="624" t="b">
        <f t="shared" si="9"/>
        <v>0</v>
      </c>
      <c r="BE49" s="624" t="b">
        <f t="shared" si="10"/>
        <v>0</v>
      </c>
      <c r="BF49" s="624">
        <f t="shared" si="11"/>
        <v>56.524999999999999</v>
      </c>
      <c r="BG49" s="624" t="b">
        <f t="shared" si="12"/>
        <v>0</v>
      </c>
      <c r="BH49" s="624" t="b">
        <f t="shared" si="13"/>
        <v>0</v>
      </c>
      <c r="BI49" s="624" t="b">
        <f t="shared" si="14"/>
        <v>0</v>
      </c>
      <c r="BJ49" s="624" t="b">
        <f t="shared" si="15"/>
        <v>0</v>
      </c>
      <c r="BK49" s="624" t="b">
        <f t="shared" si="16"/>
        <v>0</v>
      </c>
      <c r="BL49" s="624" t="b">
        <f t="shared" si="17"/>
        <v>0</v>
      </c>
      <c r="BM49" s="624" t="b">
        <f t="shared" si="18"/>
        <v>0</v>
      </c>
      <c r="BN49" s="624" t="b">
        <f t="shared" si="19"/>
        <v>0</v>
      </c>
      <c r="BO49" s="624" t="b">
        <f t="shared" si="20"/>
        <v>0</v>
      </c>
      <c r="BP49" s="624" t="b">
        <f t="shared" si="21"/>
        <v>0</v>
      </c>
      <c r="BQ49" s="624" t="b">
        <f t="shared" si="22"/>
        <v>0</v>
      </c>
    </row>
    <row r="50" spans="1:69">
      <c r="A50" s="1087"/>
      <c r="B50" s="872"/>
      <c r="C50" s="872"/>
      <c r="D50" s="645"/>
      <c r="E50" s="645"/>
      <c r="F50" s="644"/>
      <c r="G50" s="644"/>
      <c r="H50" s="644"/>
      <c r="I50" s="635"/>
      <c r="J50" s="644">
        <f>IF(F50&lt;=1966,'Założenia,wskaźniki, listy'!$H$4,IF(F50&gt;1966,IF(F50&lt;=1985,'Założenia,wskaźniki, listy'!$H$5,IF(F50&gt;1985,IF(F50&lt;=1992,'Założenia,wskaźniki, listy'!$H$6,IF(F50&gt;1992,IF(F50&lt;=1996,'Założenia,wskaźniki, listy'!$H$7,IF(F50&gt;1996,IF(F50&lt;=2015,'Założenia,wskaźniki, listy'!$H$8)))))))))</f>
        <v>290</v>
      </c>
      <c r="K50" s="864"/>
      <c r="L50" s="644"/>
      <c r="M50" s="644"/>
      <c r="N50" s="644"/>
      <c r="O50" s="637">
        <f t="shared" si="23"/>
        <v>0</v>
      </c>
      <c r="P50" s="646">
        <f>IF(K50="kompletna",J50*G50*0.0036*'Założenia,wskaźniki, listy'!$P$9,IF(K50="częściowa",J50*G50*0.0036*'Założenia,wskaźniki, listy'!$P$10,IF(K50="brak",J50*G50*0.0036*'Założenia,wskaźniki, listy'!$P$11,0)))</f>
        <v>0</v>
      </c>
      <c r="Q50" s="638">
        <f>H50*'Założenia,wskaźniki, listy'!$L$15</f>
        <v>0</v>
      </c>
      <c r="R50" s="635">
        <f>IF(L50="węgiel",'Mieszkalne - baza'!M50*'Założenia,wskaźniki, listy'!$B$4,IF(L50="gaz",'Mieszkalne - baza'!M50*'Założenia,wskaźniki, listy'!$B$5,IF(L50="drewno",'Mieszkalne - baza'!M50*'Założenia,wskaźniki, listy'!$B$6,IF(L50="pelet",'Mieszkalne - baza'!M50*'Założenia,wskaźniki, listy'!$B$7,IF(L50="olej opałowy",'Mieszkalne - baza'!M50*'Założenia,wskaźniki, listy'!$B$8,IF(L50="sieć ciepłownicza",0,0))))))</f>
        <v>0</v>
      </c>
      <c r="S50" s="1085"/>
      <c r="T50" s="639">
        <f>IF(L50="węgiel",R50*'Założenia,wskaźniki, listy'!$C$44,IF(L50="gaz",R50*'Założenia,wskaźniki, listy'!$D$44,IF(L50="drewno",R50*'Założenia,wskaźniki, listy'!$E$44,IF(L50="pelet",R50*'Założenia,wskaźniki, listy'!$F$44,IF(L50="olej opałowy",R50*'Założenia,wskaźniki, listy'!$G$44,IF(L50="sieć ciepłownicza",0,IF(L50="prąd",0,0)))))))</f>
        <v>0</v>
      </c>
      <c r="U50" s="639">
        <f>IF(L50="węgiel",R50*'Założenia,wskaźniki, listy'!$C$45,IF(L50="gaz",R50*'Założenia,wskaźniki, listy'!$D$45,IF(L50="drewno",R50*'Założenia,wskaźniki, listy'!$E$45,IF(L50="pelet",R50*'Założenia,wskaźniki, listy'!$F$45,IF(L50="olej opałowy",R50*'Założenia,wskaźniki, listy'!$G$45,IF(L50="sieć ciepłownicza",0,IF(L50="prąd",0,0)))))))</f>
        <v>0</v>
      </c>
      <c r="V50" s="639">
        <f>IF(L50="węgiel",R50*'Założenia,wskaźniki, listy'!$C$46,IF(L50="gaz",R50*'Założenia,wskaźniki, listy'!$D$46,IF(L50="drewno",R50*'Założenia,wskaźniki, listy'!$E$46,IF(L50="pelet",R50*'Założenia,wskaźniki, listy'!$F$46,IF(L50="olej opałowy",R50*'Założenia,wskaźniki, listy'!$G$46,IF(L50="sieć ciepłownicza",R50*'Założenia,wskaźniki, listy'!$H$46,IF(L50="prąd",R50*'Założenia,wskaźniki, listy'!$I$46,0)))))))</f>
        <v>0</v>
      </c>
      <c r="W50" s="639">
        <f>IF(L50="węgiel",R50*'Założenia,wskaźniki, listy'!$C$47,IF(L50="gaz",R50*'Założenia,wskaźniki, listy'!$D$47,IF(L50="drewno",R50*'Założenia,wskaźniki, listy'!$E$47,IF(L50="pelet",R50*'Założenia,wskaźniki, listy'!$F$47,IF(L50="olej opałowy",R50*'Założenia,wskaźniki, listy'!$G$47,IF(L50="sieć ciepłownicza",0,IF(L50="prąd",0,0)))))))</f>
        <v>0</v>
      </c>
      <c r="X50" s="639">
        <f>IF(L50="węgiel",R50*'Założenia,wskaźniki, listy'!$C$48, IF(L50="gaz",R50*'Założenia,wskaźniki, listy'!$D$48,IF(L50="drewno",R50*'Założenia,wskaźniki, listy'!$E$48,IF(L50="pelet",R50*'Założenia,wskaźniki, listy'!$F$48,IF(L50="olej opałowy",R50*'Założenia,wskaźniki, listy'!$G$48,IF(L50="sieć ciepłownicza",0,IF(L50="prąd",0,0)))))))</f>
        <v>0</v>
      </c>
      <c r="Y50" s="639">
        <f>IF(L50="węgiel",R50*'Założenia,wskaźniki, listy'!$C$49, IF(L50="gaz",R50*'Założenia,wskaźniki, listy'!$D$49, IF(L50="drewno",R50*'Założenia,wskaźniki, listy'!$E$49,IF(L50="pelet",R50*'Założenia,wskaźniki, listy'!$F$49,IF(L50="olej opałowy",R50*'Założenia,wskaźniki, listy'!$G$49,IF(L50="sieć ciepłownicza",0,IF(L50="prąd",0,0)))))))</f>
        <v>0</v>
      </c>
      <c r="Z50" s="639">
        <f>IF(L50="węgiel",R50*'Założenia,wskaźniki, listy'!$C$50,IF(L50="gaz",R50*'Założenia,wskaźniki, listy'!$D$50, IF(L50="drewno",R50*'Założenia,wskaźniki, listy'!$E$50,IF(L50="pelet",R50*'Założenia,wskaźniki, listy'!$F$50,IF(L50="pelet",R50*'Założenia,wskaźniki, listy'!$F$50,IF(L50="olej opałowy",R50*'Założenia,wskaźniki, listy'!$G$50,IF(L50="sieć ciepłownicza",0,IF(L50="prąd",0,0))))))))</f>
        <v>0</v>
      </c>
      <c r="AA50" s="639">
        <f>IF(N50="węgiel",Q50*'Założenia,wskaźniki, listy'!$C$44,IF(N50="gaz",Q50*'Założenia,wskaźniki, listy'!$D$44,IF(N50="drewno",Q50*'Założenia,wskaźniki, listy'!$E$44,IF(N50="pelet",Q50*'Założenia,wskaźniki, listy'!$G$44,IF(N50="olej opałowy",Q50*'Założenia,wskaźniki, listy'!$G$44,IF(N50="sieć ciepłownicza",0,IF(N50="prąd",0,0)))))))</f>
        <v>0</v>
      </c>
      <c r="AB50" s="639">
        <f>IF(N50="węgiel",Q50*'Założenia,wskaźniki, listy'!$C$45,IF(N50="gaz",Q50*'Założenia,wskaźniki, listy'!$D$45,IF(N50="drewno",Q50*'Założenia,wskaźniki, listy'!$E$45,IF(N50="pelet",Q50*'Założenia,wskaźniki, listy'!$G$45,IF(N50="olej opałowy",Q50*'Założenia,wskaźniki, listy'!$G$45,IF(N50="sieć ciepłownicza",0,IF(N50="prąd",0,0)))))))</f>
        <v>0</v>
      </c>
      <c r="AC50" s="639">
        <f>IF(N50="węgiel",Q50*'Założenia,wskaźniki, listy'!$C$46,IF(N50="gaz",Q50*'Założenia,wskaźniki, listy'!$D$46,IF(N50="drewno",Q50*'Założenia,wskaźniki, listy'!$E$46,IF(N50="pelet",Q50*'Założenia,wskaźniki, listy'!$G$46,IF(N50="olej opałowy",Q50*'Założenia,wskaźniki, listy'!$G$46,IF(N50="sieć ciepłownicza",0,IF(N50="prąd",0,0)))))))</f>
        <v>0</v>
      </c>
      <c r="AD50" s="639">
        <f>IF(N50="węgiel",Q50*'Założenia,wskaźniki, listy'!$C$47,IF(N50="gaz",Q50*'Założenia,wskaźniki, listy'!$D$47,IF(N50="drewno",Q50*'Założenia,wskaźniki, listy'!$E$47,IF(N50="pelet",Q50*'Założenia,wskaźniki, listy'!$G$47,IF(N50="olej opałowy",Q50*'Założenia,wskaźniki, listy'!$G$47,IF(N50="sieć ciepłownicza",0,IF(N50="prąd",0,0)))))))</f>
        <v>0</v>
      </c>
      <c r="AE50" s="639">
        <f>IF(N50="węgiel",Q50*'Założenia,wskaźniki, listy'!$C$48,IF(N50="gaz",Q50*'Założenia,wskaźniki, listy'!$D$48,IF(N50="drewno",Q50*'Założenia,wskaźniki, listy'!$E$48,IF(N50="pelet",Q50*'Założenia,wskaźniki, listy'!$G$48,IF(N50="olej opałowy",Q50*'Założenia,wskaźniki, listy'!$G$48,IF(N50="sieć ciepłownicza",0,IF(N50="prąd",0,0)))))))</f>
        <v>0</v>
      </c>
      <c r="AF50" s="639">
        <f>IF(N50="węgiel",Q50*'Założenia,wskaźniki, listy'!$C$49,IF(N50="gaz",Q50*'Założenia,wskaźniki, listy'!$D$49,IF(N50="drewno",Q50*'Założenia,wskaźniki, listy'!$E$49,IF(N50="pelet",Q50*'Założenia,wskaźniki, listy'!$G$49,IF(N50="olej opałowy",Q50*'Założenia,wskaźniki, listy'!$G$49,IF(N50="sieć ciepłownicza",0,IF(N50="prąd",0,0)))))))</f>
        <v>0</v>
      </c>
      <c r="AG50" s="639">
        <f>IF(N50="węgiel",Q50*'Założenia,wskaźniki, listy'!$C$50,IF(N50="gaz",Q50*'Założenia,wskaźniki, listy'!$D$50,IF(N50="drewno",Q50*'Założenia,wskaźniki, listy'!$E$50,IF(N50="pelet",Q50*'Założenia,wskaźniki, listy'!$G$50,IF(N50="olej opałowy",Q50*'Założenia,wskaźniki, listy'!$G$50,IF(N50="sieć ciepłownicza",0,IF(N50="prąd",0,0)))))))</f>
        <v>0</v>
      </c>
      <c r="AH50" s="640">
        <f>IF(L50="węgiel",(P50+R50)/2*'Założenia,wskaźniki, listy'!$C$4,IF(L50="gaz",(P50+R50)/2*'Założenia,wskaźniki, listy'!$C$5,IF(L50="drewno",(P50+R50)/2*'Założenia,wskaźniki, listy'!$C$6,IF(L50="pelet",(P50+R50)/2*'Założenia,wskaźniki, listy'!$C$7,IF(L50="olej opałowy",(P50+R50)/2*'Założenia,wskaźniki, listy'!$C$8,IF(L50="sieć ciepłownicza",(P50+R50)/2*'Założenia,wskaźniki, listy'!$C$9,IF(L50="sieć ciepłownicza",(P50+R50)/2*'Założenia,wskaźniki, listy'!$C$10,)))))))</f>
        <v>0</v>
      </c>
      <c r="AI50" s="640">
        <f>IF(N50="węgiel",Q50*'Założenia,wskaźniki, listy'!$C$4,IF(N50="gaz",Q50*'Założenia,wskaźniki, listy'!$C$5,IF(N50="drewno",Q50*'Założenia,wskaźniki, listy'!$C$6,IF(N50="pelet",Q50*'Założenia,wskaźniki, listy'!$C$7,IF(N50="olej opałowy",Q50*'Założenia,wskaźniki, listy'!$C$8,IF(N50="sieć ciepłownicza",Q50*'Założenia,wskaźniki, listy'!$C$9,IF(N50="sieć ciepłownicza",Q50*'Założenia,wskaźniki, listy'!$C$10,0)))))))</f>
        <v>0</v>
      </c>
      <c r="AJ50" s="640">
        <f>S50*'Założenia,wskaźniki, listy'!$B$64*1000</f>
        <v>0</v>
      </c>
      <c r="AK50" s="640">
        <f>(H50+I50)*'Założenia,wskaźniki, listy'!$D$64*12</f>
        <v>0</v>
      </c>
      <c r="AL50" s="640">
        <f>AK50*'Założenia,wskaźniki, listy'!$F$64</f>
        <v>0</v>
      </c>
      <c r="AM50" s="639">
        <f t="shared" si="95"/>
        <v>0</v>
      </c>
      <c r="AN50" s="639">
        <f t="shared" si="96"/>
        <v>0</v>
      </c>
      <c r="AO50" s="639">
        <f>V50+AC50+S50*'Założenia,wskaźniki, listy'!$J$46</f>
        <v>0</v>
      </c>
      <c r="AP50" s="639">
        <f t="shared" si="97"/>
        <v>0</v>
      </c>
      <c r="AQ50" s="639">
        <f t="shared" si="98"/>
        <v>0</v>
      </c>
      <c r="AR50" s="639">
        <f t="shared" si="99"/>
        <v>0</v>
      </c>
      <c r="AS50" s="639">
        <f t="shared" si="100"/>
        <v>0</v>
      </c>
      <c r="AT50" s="647"/>
      <c r="AU50" s="647"/>
      <c r="AV50" s="624">
        <f t="shared" si="1"/>
        <v>0</v>
      </c>
      <c r="AW50" s="624" t="b">
        <f t="shared" si="2"/>
        <v>0</v>
      </c>
      <c r="AX50" s="624" t="b">
        <f t="shared" si="3"/>
        <v>0</v>
      </c>
      <c r="AY50" s="624" t="b">
        <f t="shared" si="4"/>
        <v>0</v>
      </c>
      <c r="AZ50" s="624" t="b">
        <f t="shared" si="5"/>
        <v>0</v>
      </c>
      <c r="BA50" s="624" t="b">
        <f t="shared" si="6"/>
        <v>0</v>
      </c>
      <c r="BB50" s="624" t="b">
        <f t="shared" si="7"/>
        <v>0</v>
      </c>
      <c r="BC50" s="624" t="b">
        <f t="shared" si="8"/>
        <v>0</v>
      </c>
      <c r="BD50" s="624" t="b">
        <f t="shared" si="9"/>
        <v>0</v>
      </c>
      <c r="BE50" s="624" t="b">
        <f t="shared" si="10"/>
        <v>0</v>
      </c>
      <c r="BF50" s="624" t="b">
        <f t="shared" si="11"/>
        <v>0</v>
      </c>
      <c r="BG50" s="624" t="b">
        <f t="shared" si="12"/>
        <v>0</v>
      </c>
      <c r="BH50" s="624" t="b">
        <f t="shared" si="13"/>
        <v>0</v>
      </c>
      <c r="BI50" s="624" t="b">
        <f t="shared" si="14"/>
        <v>0</v>
      </c>
      <c r="BJ50" s="624" t="b">
        <f t="shared" si="15"/>
        <v>0</v>
      </c>
      <c r="BK50" s="624" t="b">
        <f t="shared" si="16"/>
        <v>0</v>
      </c>
      <c r="BL50" s="624" t="b">
        <f t="shared" si="17"/>
        <v>0</v>
      </c>
      <c r="BM50" s="624" t="b">
        <f t="shared" si="18"/>
        <v>0</v>
      </c>
      <c r="BN50" s="624" t="b">
        <f t="shared" si="19"/>
        <v>0</v>
      </c>
      <c r="BO50" s="624" t="b">
        <f t="shared" si="20"/>
        <v>0</v>
      </c>
      <c r="BP50" s="624" t="b">
        <f t="shared" si="21"/>
        <v>0</v>
      </c>
      <c r="BQ50" s="624" t="b">
        <f t="shared" si="22"/>
        <v>0</v>
      </c>
    </row>
    <row r="51" spans="1:69">
      <c r="A51" s="1086">
        <v>24</v>
      </c>
      <c r="B51" s="872" t="s">
        <v>21</v>
      </c>
      <c r="C51" s="873" t="s">
        <v>621</v>
      </c>
      <c r="D51" s="645" t="s">
        <v>628</v>
      </c>
      <c r="E51" s="645">
        <v>41</v>
      </c>
      <c r="F51" s="644">
        <v>1969</v>
      </c>
      <c r="G51" s="644">
        <v>80</v>
      </c>
      <c r="H51" s="644"/>
      <c r="I51" s="635"/>
      <c r="J51" s="644">
        <f>IF(F51&lt;=1966,'Założenia,wskaźniki, listy'!$H$4,IF(F51&gt;1966,IF(F51&lt;=1985,'Założenia,wskaźniki, listy'!$H$5,IF(F51&gt;1985,IF(F51&lt;=1992,'Założenia,wskaźniki, listy'!$H$6,IF(F51&gt;1992,IF(F51&lt;=1996,'Założenia,wskaźniki, listy'!$H$7,IF(F51&gt;1996,IF(F51&lt;=2015,'Założenia,wskaźniki, listy'!$H$8)))))))))</f>
        <v>250</v>
      </c>
      <c r="K51" s="864" t="s">
        <v>31</v>
      </c>
      <c r="L51" s="644" t="s">
        <v>8</v>
      </c>
      <c r="M51" s="644">
        <v>3</v>
      </c>
      <c r="N51" s="644"/>
      <c r="O51" s="637">
        <f t="shared" si="23"/>
        <v>69.914999999999992</v>
      </c>
      <c r="P51" s="646">
        <f>IF(K51="kompletna",J51*G51*0.0036*'Założenia,wskaźniki, listy'!$P$9,IF(K51="częściowa",J51*G51*0.0036*'Założenia,wskaźniki, listy'!$P$10,IF(K51="brak",J51*G51*0.0036*'Założenia,wskaźniki, listy'!$P$11,0)))</f>
        <v>72</v>
      </c>
      <c r="Q51" s="638">
        <f>H51*'Założenia,wskaźniki, listy'!$L$15</f>
        <v>0</v>
      </c>
      <c r="R51" s="635">
        <f>IF(L51="węgiel",'Mieszkalne - baza'!M51*'Założenia,wskaźniki, listy'!$B$4,IF(L51="gaz",'Mieszkalne - baza'!M51*'Założenia,wskaźniki, listy'!$B$5,IF(L51="drewno",'Mieszkalne - baza'!M51*'Założenia,wskaźniki, listy'!$B$6,IF(L51="pelet",'Mieszkalne - baza'!M51*'Założenia,wskaźniki, listy'!$B$7,IF(L51="olej opałowy",'Mieszkalne - baza'!M51*'Założenia,wskaźniki, listy'!$B$8,IF(L51="sieć ciepłownicza",0,0))))))</f>
        <v>67.83</v>
      </c>
      <c r="S51" s="1084">
        <v>1.6919999999999999</v>
      </c>
      <c r="T51" s="639">
        <f>IF(L51="węgiel",R51*'Założenia,wskaźniki, listy'!$C$44,IF(L51="gaz",R51*'Założenia,wskaźniki, listy'!$D$44,IF(L51="drewno",R51*'Założenia,wskaźniki, listy'!$E$44,IF(L51="pelet",R51*'Założenia,wskaźniki, listy'!$F$44,IF(L51="olej opałowy",R51*'Założenia,wskaźniki, listy'!$G$44,IF(L51="sieć ciepłownicza",0,IF(L51="prąd",0,0)))))))</f>
        <v>1.5261749999999999E-2</v>
      </c>
      <c r="U51" s="639">
        <f>IF(L51="węgiel",R51*'Założenia,wskaźniki, listy'!$C$45,IF(L51="gaz",R51*'Założenia,wskaźniki, listy'!$D$45,IF(L51="drewno",R51*'Założenia,wskaźniki, listy'!$E$45,IF(L51="pelet",R51*'Założenia,wskaźniki, listy'!$F$45,IF(L51="olej opałowy",R51*'Założenia,wskaźniki, listy'!$G$45,IF(L51="sieć ciepłownicza",0,IF(L51="prąd",0,0)))))))</f>
        <v>1.363383E-2</v>
      </c>
      <c r="V51" s="639">
        <f>IF(L51="węgiel",R51*'Założenia,wskaźniki, listy'!$C$46,IF(L51="gaz",R51*'Założenia,wskaźniki, listy'!$D$46,IF(L51="drewno",R51*'Założenia,wskaźniki, listy'!$E$46,IF(L51="pelet",R51*'Założenia,wskaźniki, listy'!$F$46,IF(L51="olej opałowy",R51*'Założenia,wskaźniki, listy'!$G$46,IF(L51="sieć ciepłownicza",R51*'Założenia,wskaźniki, listy'!$H$46,IF(L51="prąd",R51*'Założenia,wskaźniki, listy'!$I$46,0)))))))</f>
        <v>6.3583841999999988</v>
      </c>
      <c r="W51" s="639">
        <f>IF(L51="węgiel",R51*'Założenia,wskaźniki, listy'!$C$47,IF(L51="gaz",R51*'Założenia,wskaźniki, listy'!$D$47,IF(L51="drewno",R51*'Założenia,wskaźniki, listy'!$E$47,IF(L51="pelet",R51*'Założenia,wskaźniki, listy'!$F$47,IF(L51="olej opałowy",R51*'Założenia,wskaźniki, listy'!$G$47,IF(L51="sieć ciepłownicza",0,IF(L51="prąd",0,0)))))))</f>
        <v>1.8314100000000001E-5</v>
      </c>
      <c r="X51" s="639">
        <f>IF(L51="węgiel",R51*'Założenia,wskaźniki, listy'!$C$48, IF(L51="gaz",R51*'Założenia,wskaźniki, listy'!$D$48,IF(L51="drewno",R51*'Założenia,wskaźniki, listy'!$E$48,IF(L51="pelet",R51*'Założenia,wskaźniki, listy'!$F$48,IF(L51="olej opałowy",R51*'Założenia,wskaźniki, listy'!$G$48,IF(L51="sieć ciepłownicza",0,IF(L51="prąd",0,0)))))))</f>
        <v>6.1046999999999997E-2</v>
      </c>
      <c r="Y51" s="639">
        <f>IF(L51="węgiel",R51*'Założenia,wskaźniki, listy'!$C$49, IF(L51="gaz",R51*'Założenia,wskaźniki, listy'!$D$49, IF(L51="drewno",R51*'Założenia,wskaźniki, listy'!$E$49,IF(L51="pelet",R51*'Założenia,wskaźniki, listy'!$F$49,IF(L51="olej opałowy",R51*'Założenia,wskaźniki, listy'!$G$49,IF(L51="sieć ciepłownicza",0,IF(L51="prąd",0,0)))))))</f>
        <v>1.071714E-2</v>
      </c>
      <c r="Z51" s="639">
        <f>IF(L51="węgiel",R51*'Założenia,wskaźniki, listy'!$C$50,IF(L51="gaz",R51*'Założenia,wskaźniki, listy'!$D$50, IF(L51="drewno",R51*'Założenia,wskaźniki, listy'!$E$50,IF(L51="pelet",R51*'Założenia,wskaźniki, listy'!$F$50,IF(L51="pelet",R51*'Założenia,wskaźniki, listy'!$F$50,IF(L51="olej opałowy",R51*'Założenia,wskaźniki, listy'!$G$50,IF(L51="sieć ciepłownicza",0,IF(L51="prąd",0,0))))))))</f>
        <v>0.13644836835046936</v>
      </c>
      <c r="AA51" s="639">
        <f>IF(N51="węgiel",Q51*'Założenia,wskaźniki, listy'!$C$44,IF(N51="gaz",Q51*'Założenia,wskaźniki, listy'!$D$44,IF(N51="drewno",Q51*'Założenia,wskaźniki, listy'!$E$44,IF(N51="pelet",Q51*'Założenia,wskaźniki, listy'!$G$44,IF(N51="olej opałowy",Q51*'Założenia,wskaźniki, listy'!$G$44,IF(N51="sieć ciepłownicza",0,IF(N51="prąd",0,0)))))))</f>
        <v>0</v>
      </c>
      <c r="AB51" s="639">
        <f>IF(N51="węgiel",Q51*'Założenia,wskaźniki, listy'!$C$45,IF(N51="gaz",Q51*'Założenia,wskaźniki, listy'!$D$45,IF(N51="drewno",Q51*'Założenia,wskaźniki, listy'!$E$45,IF(N51="pelet",Q51*'Założenia,wskaźniki, listy'!$G$45,IF(N51="olej opałowy",Q51*'Założenia,wskaźniki, listy'!$G$45,IF(N51="sieć ciepłownicza",0,IF(N51="prąd",0,0)))))))</f>
        <v>0</v>
      </c>
      <c r="AC51" s="639">
        <f>IF(N51="węgiel",Q51*'Założenia,wskaźniki, listy'!$C$46,IF(N51="gaz",Q51*'Założenia,wskaźniki, listy'!$D$46,IF(N51="drewno",Q51*'Założenia,wskaźniki, listy'!$E$46,IF(N51="pelet",Q51*'Założenia,wskaźniki, listy'!$G$46,IF(N51="olej opałowy",Q51*'Założenia,wskaźniki, listy'!$G$46,IF(N51="sieć ciepłownicza",0,IF(N51="prąd",0,0)))))))</f>
        <v>0</v>
      </c>
      <c r="AD51" s="639">
        <f>IF(N51="węgiel",Q51*'Założenia,wskaźniki, listy'!$C$47,IF(N51="gaz",Q51*'Założenia,wskaźniki, listy'!$D$47,IF(N51="drewno",Q51*'Założenia,wskaźniki, listy'!$E$47,IF(N51="pelet",Q51*'Założenia,wskaźniki, listy'!$G$47,IF(N51="olej opałowy",Q51*'Założenia,wskaźniki, listy'!$G$47,IF(N51="sieć ciepłownicza",0,IF(N51="prąd",0,0)))))))</f>
        <v>0</v>
      </c>
      <c r="AE51" s="639">
        <f>IF(N51="węgiel",Q51*'Założenia,wskaźniki, listy'!$C$48,IF(N51="gaz",Q51*'Założenia,wskaźniki, listy'!$D$48,IF(N51="drewno",Q51*'Założenia,wskaźniki, listy'!$E$48,IF(N51="pelet",Q51*'Założenia,wskaźniki, listy'!$G$48,IF(N51="olej opałowy",Q51*'Założenia,wskaźniki, listy'!$G$48,IF(N51="sieć ciepłownicza",0,IF(N51="prąd",0,0)))))))</f>
        <v>0</v>
      </c>
      <c r="AF51" s="639">
        <f>IF(N51="węgiel",Q51*'Założenia,wskaźniki, listy'!$C$49,IF(N51="gaz",Q51*'Założenia,wskaźniki, listy'!$D$49,IF(N51="drewno",Q51*'Założenia,wskaźniki, listy'!$E$49,IF(N51="pelet",Q51*'Założenia,wskaźniki, listy'!$G$49,IF(N51="olej opałowy",Q51*'Założenia,wskaźniki, listy'!$G$49,IF(N51="sieć ciepłownicza",0,IF(N51="prąd",0,0)))))))</f>
        <v>0</v>
      </c>
      <c r="AG51" s="639">
        <f>IF(N51="węgiel",Q51*'Założenia,wskaźniki, listy'!$C$50,IF(N51="gaz",Q51*'Założenia,wskaźniki, listy'!$D$50,IF(N51="drewno",Q51*'Założenia,wskaźniki, listy'!$E$50,IF(N51="pelet",Q51*'Założenia,wskaźniki, listy'!$G$50,IF(N51="olej opałowy",Q51*'Założenia,wskaźniki, listy'!$G$50,IF(N51="sieć ciepłownicza",0,IF(N51="prąd",0,0)))))))</f>
        <v>0</v>
      </c>
      <c r="AH51" s="640">
        <f>IF(L51="węgiel",(P51+R51)/2*'Założenia,wskaźniki, listy'!$C$4,IF(L51="gaz",(P51+R51)/2*'Założenia,wskaźniki, listy'!$C$5,IF(L51="drewno",(P51+R51)/2*'Założenia,wskaźniki, listy'!$C$6,IF(L51="pelet",(P51+R51)/2*'Założenia,wskaźniki, listy'!$C$7,IF(L51="olej opałowy",(P51+R51)/2*'Założenia,wskaźniki, listy'!$C$8,IF(L51="sieć ciepłownicza",(P51+R51)/2*'Założenia,wskaźniki, listy'!$C$9,IF(L51="sieć ciepłownicza",(P51+R51)/2*'Założenia,wskaźniki, listy'!$C$10,)))))))</f>
        <v>2866.5149999999999</v>
      </c>
      <c r="AI51" s="640">
        <f>IF(N51="węgiel",Q51*'Założenia,wskaźniki, listy'!$C$4,IF(N51="gaz",Q51*'Założenia,wskaźniki, listy'!$C$5,IF(N51="drewno",Q51*'Założenia,wskaźniki, listy'!$C$6,IF(N51="pelet",Q51*'Założenia,wskaźniki, listy'!$C$7,IF(N51="olej opałowy",Q51*'Założenia,wskaźniki, listy'!$C$8,IF(N51="sieć ciepłownicza",Q51*'Założenia,wskaźniki, listy'!$C$9,IF(N51="sieć ciepłownicza",Q51*'Założenia,wskaźniki, listy'!$C$10,0)))))))</f>
        <v>0</v>
      </c>
      <c r="AJ51" s="640">
        <f>S51*'Założenia,wskaźniki, listy'!$B$64*1000</f>
        <v>1201.32</v>
      </c>
      <c r="AK51" s="640">
        <f>(H51+I51)*'Założenia,wskaźniki, listy'!$D$64*12</f>
        <v>0</v>
      </c>
      <c r="AL51" s="640">
        <f>AK51*'Założenia,wskaźniki, listy'!$F$64</f>
        <v>0</v>
      </c>
      <c r="AM51" s="639">
        <f t="shared" si="95"/>
        <v>1.5261749999999999E-2</v>
      </c>
      <c r="AN51" s="639">
        <f t="shared" si="96"/>
        <v>1.363383E-2</v>
      </c>
      <c r="AO51" s="639">
        <f>V51+AC51+S51*'Założenia,wskaźniki, listy'!$J$46</f>
        <v>7.7652821999999988</v>
      </c>
      <c r="AP51" s="639">
        <f t="shared" si="97"/>
        <v>1.8314100000000001E-5</v>
      </c>
      <c r="AQ51" s="639">
        <f t="shared" si="98"/>
        <v>6.1046999999999997E-2</v>
      </c>
      <c r="AR51" s="639">
        <f t="shared" si="99"/>
        <v>1.071714E-2</v>
      </c>
      <c r="AS51" s="639">
        <f t="shared" si="100"/>
        <v>0.13644836835046936</v>
      </c>
      <c r="AT51" s="647"/>
      <c r="AU51" s="647"/>
      <c r="AV51" s="624" t="b">
        <f t="shared" si="1"/>
        <v>0</v>
      </c>
      <c r="AW51" s="624" t="b">
        <f t="shared" si="2"/>
        <v>0</v>
      </c>
      <c r="AX51" s="624">
        <f t="shared" si="3"/>
        <v>80</v>
      </c>
      <c r="AY51" s="624" t="b">
        <f t="shared" si="4"/>
        <v>0</v>
      </c>
      <c r="AZ51" s="624" t="b">
        <f t="shared" si="5"/>
        <v>0</v>
      </c>
      <c r="BA51" s="624" t="b">
        <f t="shared" si="6"/>
        <v>0</v>
      </c>
      <c r="BB51" s="624" t="b">
        <f t="shared" si="7"/>
        <v>0</v>
      </c>
      <c r="BC51" s="624" t="b">
        <f t="shared" si="8"/>
        <v>0</v>
      </c>
      <c r="BD51" s="624" t="b">
        <f t="shared" si="9"/>
        <v>0</v>
      </c>
      <c r="BE51" s="624" t="b">
        <f t="shared" si="10"/>
        <v>0</v>
      </c>
      <c r="BF51" s="624">
        <f t="shared" si="11"/>
        <v>67.83</v>
      </c>
      <c r="BG51" s="624" t="b">
        <f t="shared" si="12"/>
        <v>0</v>
      </c>
      <c r="BH51" s="624" t="b">
        <f t="shared" si="13"/>
        <v>0</v>
      </c>
      <c r="BI51" s="624" t="b">
        <f t="shared" si="14"/>
        <v>0</v>
      </c>
      <c r="BJ51" s="624" t="b">
        <f t="shared" si="15"/>
        <v>0</v>
      </c>
      <c r="BK51" s="624" t="b">
        <f t="shared" si="16"/>
        <v>0</v>
      </c>
      <c r="BL51" s="624" t="b">
        <f t="shared" si="17"/>
        <v>0</v>
      </c>
      <c r="BM51" s="624" t="b">
        <f t="shared" si="18"/>
        <v>0</v>
      </c>
      <c r="BN51" s="624" t="b">
        <f t="shared" si="19"/>
        <v>0</v>
      </c>
      <c r="BO51" s="624" t="b">
        <f t="shared" si="20"/>
        <v>0</v>
      </c>
      <c r="BP51" s="624" t="b">
        <f t="shared" si="21"/>
        <v>0</v>
      </c>
      <c r="BQ51" s="624" t="b">
        <f t="shared" si="22"/>
        <v>0</v>
      </c>
    </row>
    <row r="52" spans="1:69">
      <c r="A52" s="1087"/>
      <c r="B52" s="872"/>
      <c r="C52" s="872"/>
      <c r="D52" s="645"/>
      <c r="E52" s="645"/>
      <c r="F52" s="644"/>
      <c r="G52" s="644"/>
      <c r="H52" s="644"/>
      <c r="I52" s="635"/>
      <c r="J52" s="644">
        <f>IF(F52&lt;=1966,'Założenia,wskaźniki, listy'!$H$4,IF(F52&gt;1966,IF(F52&lt;=1985,'Założenia,wskaźniki, listy'!$H$5,IF(F52&gt;1985,IF(F52&lt;=1992,'Założenia,wskaźniki, listy'!$H$6,IF(F52&gt;1992,IF(F52&lt;=1996,'Założenia,wskaźniki, listy'!$H$7,IF(F52&gt;1996,IF(F52&lt;=2015,'Założenia,wskaźniki, listy'!$H$8)))))))))</f>
        <v>290</v>
      </c>
      <c r="K52" s="864"/>
      <c r="L52" s="644"/>
      <c r="M52" s="644"/>
      <c r="N52" s="644"/>
      <c r="O52" s="637">
        <f t="shared" si="23"/>
        <v>0</v>
      </c>
      <c r="P52" s="646">
        <f>IF(K52="kompletna",J52*G52*0.0036*'Założenia,wskaźniki, listy'!$P$9,IF(K52="częściowa",J52*G52*0.0036*'Założenia,wskaźniki, listy'!$P$10,IF(K52="brak",J52*G52*0.0036*'Założenia,wskaźniki, listy'!$P$11,0)))</f>
        <v>0</v>
      </c>
      <c r="Q52" s="638">
        <f>H52*'Założenia,wskaźniki, listy'!$L$15</f>
        <v>0</v>
      </c>
      <c r="R52" s="635">
        <f>IF(L52="węgiel",'Mieszkalne - baza'!M52*'Założenia,wskaźniki, listy'!$B$4,IF(L52="gaz",'Mieszkalne - baza'!M52*'Założenia,wskaźniki, listy'!$B$5,IF(L52="drewno",'Mieszkalne - baza'!M52*'Założenia,wskaźniki, listy'!$B$6,IF(L52="pelet",'Mieszkalne - baza'!M52*'Założenia,wskaźniki, listy'!$B$7,IF(L52="olej opałowy",'Mieszkalne - baza'!M52*'Założenia,wskaźniki, listy'!$B$8,IF(L52="sieć ciepłownicza",0,0))))))</f>
        <v>0</v>
      </c>
      <c r="S52" s="1085"/>
      <c r="T52" s="639">
        <f>IF(L52="węgiel",R52*'Założenia,wskaźniki, listy'!$C$44,IF(L52="gaz",R52*'Założenia,wskaźniki, listy'!$D$44,IF(L52="drewno",R52*'Założenia,wskaźniki, listy'!$E$44,IF(L52="pelet",R52*'Założenia,wskaźniki, listy'!$F$44,IF(L52="olej opałowy",R52*'Założenia,wskaźniki, listy'!$G$44,IF(L52="sieć ciepłownicza",0,IF(L52="prąd",0,0)))))))</f>
        <v>0</v>
      </c>
      <c r="U52" s="639">
        <f>IF(L52="węgiel",R52*'Założenia,wskaźniki, listy'!$C$45,IF(L52="gaz",R52*'Założenia,wskaźniki, listy'!$D$45,IF(L52="drewno",R52*'Założenia,wskaźniki, listy'!$E$45,IF(L52="pelet",R52*'Założenia,wskaźniki, listy'!$F$45,IF(L52="olej opałowy",R52*'Założenia,wskaźniki, listy'!$G$45,IF(L52="sieć ciepłownicza",0,IF(L52="prąd",0,0)))))))</f>
        <v>0</v>
      </c>
      <c r="V52" s="639">
        <f>IF(L52="węgiel",R52*'Założenia,wskaźniki, listy'!$C$46,IF(L52="gaz",R52*'Założenia,wskaźniki, listy'!$D$46,IF(L52="drewno",R52*'Założenia,wskaźniki, listy'!$E$46,IF(L52="pelet",R52*'Założenia,wskaźniki, listy'!$F$46,IF(L52="olej opałowy",R52*'Założenia,wskaźniki, listy'!$G$46,IF(L52="sieć ciepłownicza",R52*'Założenia,wskaźniki, listy'!$H$46,IF(L52="prąd",R52*'Założenia,wskaźniki, listy'!$I$46,0)))))))</f>
        <v>0</v>
      </c>
      <c r="W52" s="639">
        <f>IF(L52="węgiel",R52*'Założenia,wskaźniki, listy'!$C$47,IF(L52="gaz",R52*'Założenia,wskaźniki, listy'!$D$47,IF(L52="drewno",R52*'Założenia,wskaźniki, listy'!$E$47,IF(L52="pelet",R52*'Założenia,wskaźniki, listy'!$F$47,IF(L52="olej opałowy",R52*'Założenia,wskaźniki, listy'!$G$47,IF(L52="sieć ciepłownicza",0,IF(L52="prąd",0,0)))))))</f>
        <v>0</v>
      </c>
      <c r="X52" s="639">
        <f>IF(L52="węgiel",R52*'Założenia,wskaźniki, listy'!$C$48, IF(L52="gaz",R52*'Założenia,wskaźniki, listy'!$D$48,IF(L52="drewno",R52*'Założenia,wskaźniki, listy'!$E$48,IF(L52="pelet",R52*'Założenia,wskaźniki, listy'!$F$48,IF(L52="olej opałowy",R52*'Założenia,wskaźniki, listy'!$G$48,IF(L52="sieć ciepłownicza",0,IF(L52="prąd",0,0)))))))</f>
        <v>0</v>
      </c>
      <c r="Y52" s="639">
        <f>IF(L52="węgiel",R52*'Założenia,wskaźniki, listy'!$C$49, IF(L52="gaz",R52*'Założenia,wskaźniki, listy'!$D$49, IF(L52="drewno",R52*'Założenia,wskaźniki, listy'!$E$49,IF(L52="pelet",R52*'Założenia,wskaźniki, listy'!$F$49,IF(L52="olej opałowy",R52*'Założenia,wskaźniki, listy'!$G$49,IF(L52="sieć ciepłownicza",0,IF(L52="prąd",0,0)))))))</f>
        <v>0</v>
      </c>
      <c r="Z52" s="639">
        <f>IF(L52="węgiel",R52*'Założenia,wskaźniki, listy'!$C$50,IF(L52="gaz",R52*'Założenia,wskaźniki, listy'!$D$50, IF(L52="drewno",R52*'Założenia,wskaźniki, listy'!$E$50,IF(L52="pelet",R52*'Założenia,wskaźniki, listy'!$F$50,IF(L52="pelet",R52*'Założenia,wskaźniki, listy'!$F$50,IF(L52="olej opałowy",R52*'Założenia,wskaźniki, listy'!$G$50,IF(L52="sieć ciepłownicza",0,IF(L52="prąd",0,0))))))))</f>
        <v>0</v>
      </c>
      <c r="AA52" s="639">
        <f>IF(N52="węgiel",Q52*'Założenia,wskaźniki, listy'!$C$44,IF(N52="gaz",Q52*'Założenia,wskaźniki, listy'!$D$44,IF(N52="drewno",Q52*'Założenia,wskaźniki, listy'!$E$44,IF(N52="pelet",Q52*'Założenia,wskaźniki, listy'!$G$44,IF(N52="olej opałowy",Q52*'Założenia,wskaźniki, listy'!$G$44,IF(N52="sieć ciepłownicza",0,IF(N52="prąd",0,0)))))))</f>
        <v>0</v>
      </c>
      <c r="AB52" s="639">
        <f>IF(N52="węgiel",Q52*'Założenia,wskaźniki, listy'!$C$45,IF(N52="gaz",Q52*'Założenia,wskaźniki, listy'!$D$45,IF(N52="drewno",Q52*'Założenia,wskaźniki, listy'!$E$45,IF(N52="pelet",Q52*'Założenia,wskaźniki, listy'!$G$45,IF(N52="olej opałowy",Q52*'Założenia,wskaźniki, listy'!$G$45,IF(N52="sieć ciepłownicza",0,IF(N52="prąd",0,0)))))))</f>
        <v>0</v>
      </c>
      <c r="AC52" s="639">
        <f>IF(N52="węgiel",Q52*'Założenia,wskaźniki, listy'!$C$46,IF(N52="gaz",Q52*'Założenia,wskaźniki, listy'!$D$46,IF(N52="drewno",Q52*'Założenia,wskaźniki, listy'!$E$46,IF(N52="pelet",Q52*'Założenia,wskaźniki, listy'!$G$46,IF(N52="olej opałowy",Q52*'Założenia,wskaźniki, listy'!$G$46,IF(N52="sieć ciepłownicza",0,IF(N52="prąd",0,0)))))))</f>
        <v>0</v>
      </c>
      <c r="AD52" s="639">
        <f>IF(N52="węgiel",Q52*'Założenia,wskaźniki, listy'!$C$47,IF(N52="gaz",Q52*'Założenia,wskaźniki, listy'!$D$47,IF(N52="drewno",Q52*'Założenia,wskaźniki, listy'!$E$47,IF(N52="pelet",Q52*'Założenia,wskaźniki, listy'!$G$47,IF(N52="olej opałowy",Q52*'Założenia,wskaźniki, listy'!$G$47,IF(N52="sieć ciepłownicza",0,IF(N52="prąd",0,0)))))))</f>
        <v>0</v>
      </c>
      <c r="AE52" s="639">
        <f>IF(N52="węgiel",Q52*'Założenia,wskaźniki, listy'!$C$48,IF(N52="gaz",Q52*'Założenia,wskaźniki, listy'!$D$48,IF(N52="drewno",Q52*'Założenia,wskaźniki, listy'!$E$48,IF(N52="pelet",Q52*'Założenia,wskaźniki, listy'!$G$48,IF(N52="olej opałowy",Q52*'Założenia,wskaźniki, listy'!$G$48,IF(N52="sieć ciepłownicza",0,IF(N52="prąd",0,0)))))))</f>
        <v>0</v>
      </c>
      <c r="AF52" s="639">
        <f>IF(N52="węgiel",Q52*'Założenia,wskaźniki, listy'!$C$49,IF(N52="gaz",Q52*'Założenia,wskaźniki, listy'!$D$49,IF(N52="drewno",Q52*'Założenia,wskaźniki, listy'!$E$49,IF(N52="pelet",Q52*'Założenia,wskaźniki, listy'!$G$49,IF(N52="olej opałowy",Q52*'Założenia,wskaźniki, listy'!$G$49,IF(N52="sieć ciepłownicza",0,IF(N52="prąd",0,0)))))))</f>
        <v>0</v>
      </c>
      <c r="AG52" s="639">
        <f>IF(N52="węgiel",Q52*'Założenia,wskaźniki, listy'!$C$50,IF(N52="gaz",Q52*'Założenia,wskaźniki, listy'!$D$50,IF(N52="drewno",Q52*'Założenia,wskaźniki, listy'!$E$50,IF(N52="pelet",Q52*'Założenia,wskaźniki, listy'!$G$50,IF(N52="olej opałowy",Q52*'Założenia,wskaźniki, listy'!$G$50,IF(N52="sieć ciepłownicza",0,IF(N52="prąd",0,0)))))))</f>
        <v>0</v>
      </c>
      <c r="AH52" s="640">
        <f>IF(L52="węgiel",(P52+R52)/2*'Założenia,wskaźniki, listy'!$C$4,IF(L52="gaz",(P52+R52)/2*'Założenia,wskaźniki, listy'!$C$5,IF(L52="drewno",(P52+R52)/2*'Założenia,wskaźniki, listy'!$C$6,IF(L52="pelet",(P52+R52)/2*'Założenia,wskaźniki, listy'!$C$7,IF(L52="olej opałowy",(P52+R52)/2*'Założenia,wskaźniki, listy'!$C$8,IF(L52="sieć ciepłownicza",(P52+R52)/2*'Założenia,wskaźniki, listy'!$C$9,IF(L52="sieć ciepłownicza",(P52+R52)/2*'Założenia,wskaźniki, listy'!$C$10,)))))))</f>
        <v>0</v>
      </c>
      <c r="AI52" s="640">
        <f>IF(N52="węgiel",Q52*'Założenia,wskaźniki, listy'!$C$4,IF(N52="gaz",Q52*'Założenia,wskaźniki, listy'!$C$5,IF(N52="drewno",Q52*'Założenia,wskaźniki, listy'!$C$6,IF(N52="pelet",Q52*'Założenia,wskaźniki, listy'!$C$7,IF(N52="olej opałowy",Q52*'Założenia,wskaźniki, listy'!$C$8,IF(N52="sieć ciepłownicza",Q52*'Założenia,wskaźniki, listy'!$C$9,IF(N52="sieć ciepłownicza",Q52*'Założenia,wskaźniki, listy'!$C$10,0)))))))</f>
        <v>0</v>
      </c>
      <c r="AJ52" s="640">
        <f>S52*'Założenia,wskaźniki, listy'!$B$64*1000</f>
        <v>0</v>
      </c>
      <c r="AK52" s="640">
        <f>(H52+I52)*'Założenia,wskaźniki, listy'!$D$64*12</f>
        <v>0</v>
      </c>
      <c r="AL52" s="640">
        <f>AK52*'Założenia,wskaźniki, listy'!$F$64</f>
        <v>0</v>
      </c>
      <c r="AM52" s="639">
        <f t="shared" si="95"/>
        <v>0</v>
      </c>
      <c r="AN52" s="639">
        <f t="shared" si="96"/>
        <v>0</v>
      </c>
      <c r="AO52" s="639">
        <f>V52+AC52+S52*'Założenia,wskaźniki, listy'!$J$46</f>
        <v>0</v>
      </c>
      <c r="AP52" s="639">
        <f t="shared" si="97"/>
        <v>0</v>
      </c>
      <c r="AQ52" s="639">
        <f t="shared" si="98"/>
        <v>0</v>
      </c>
      <c r="AR52" s="639">
        <f t="shared" si="99"/>
        <v>0</v>
      </c>
      <c r="AS52" s="639">
        <f t="shared" si="100"/>
        <v>0</v>
      </c>
      <c r="AT52" s="647"/>
      <c r="AU52" s="647"/>
      <c r="AV52" s="624">
        <f t="shared" si="1"/>
        <v>0</v>
      </c>
      <c r="AW52" s="624" t="b">
        <f t="shared" si="2"/>
        <v>0</v>
      </c>
      <c r="AX52" s="624" t="b">
        <f t="shared" si="3"/>
        <v>0</v>
      </c>
      <c r="AY52" s="624" t="b">
        <f t="shared" si="4"/>
        <v>0</v>
      </c>
      <c r="AZ52" s="624" t="b">
        <f t="shared" si="5"/>
        <v>0</v>
      </c>
      <c r="BA52" s="624" t="b">
        <f t="shared" si="6"/>
        <v>0</v>
      </c>
      <c r="BB52" s="624" t="b">
        <f t="shared" si="7"/>
        <v>0</v>
      </c>
      <c r="BC52" s="624" t="b">
        <f t="shared" si="8"/>
        <v>0</v>
      </c>
      <c r="BD52" s="624" t="b">
        <f t="shared" si="9"/>
        <v>0</v>
      </c>
      <c r="BE52" s="624" t="b">
        <f t="shared" si="10"/>
        <v>0</v>
      </c>
      <c r="BF52" s="624" t="b">
        <f t="shared" si="11"/>
        <v>0</v>
      </c>
      <c r="BG52" s="624" t="b">
        <f t="shared" si="12"/>
        <v>0</v>
      </c>
      <c r="BH52" s="624" t="b">
        <f t="shared" si="13"/>
        <v>0</v>
      </c>
      <c r="BI52" s="624" t="b">
        <f t="shared" si="14"/>
        <v>0</v>
      </c>
      <c r="BJ52" s="624" t="b">
        <f t="shared" si="15"/>
        <v>0</v>
      </c>
      <c r="BK52" s="624" t="b">
        <f t="shared" si="16"/>
        <v>0</v>
      </c>
      <c r="BL52" s="624" t="b">
        <f t="shared" si="17"/>
        <v>0</v>
      </c>
      <c r="BM52" s="624" t="b">
        <f t="shared" si="18"/>
        <v>0</v>
      </c>
      <c r="BN52" s="624" t="b">
        <f t="shared" si="19"/>
        <v>0</v>
      </c>
      <c r="BO52" s="624" t="b">
        <f t="shared" si="20"/>
        <v>0</v>
      </c>
      <c r="BP52" s="624" t="b">
        <f t="shared" si="21"/>
        <v>0</v>
      </c>
      <c r="BQ52" s="624" t="b">
        <f t="shared" si="22"/>
        <v>0</v>
      </c>
    </row>
    <row r="53" spans="1:69">
      <c r="A53" s="1086">
        <v>25</v>
      </c>
      <c r="B53" s="872" t="s">
        <v>21</v>
      </c>
      <c r="C53" s="873" t="s">
        <v>621</v>
      </c>
      <c r="D53" s="645" t="s">
        <v>628</v>
      </c>
      <c r="E53" s="645" t="s">
        <v>629</v>
      </c>
      <c r="F53" s="644">
        <v>1958</v>
      </c>
      <c r="G53" s="644">
        <v>60</v>
      </c>
      <c r="H53" s="644"/>
      <c r="I53" s="635"/>
      <c r="J53" s="644">
        <f>IF(F53&lt;=1966,'Założenia,wskaźniki, listy'!$H$4,IF(F53&gt;1966,IF(F53&lt;=1985,'Założenia,wskaźniki, listy'!$H$5,IF(F53&gt;1985,IF(F53&lt;=1992,'Założenia,wskaźniki, listy'!$H$6,IF(F53&gt;1992,IF(F53&lt;=1996,'Założenia,wskaźniki, listy'!$H$7,IF(F53&gt;1996,IF(F53&lt;=2015,'Założenia,wskaźniki, listy'!$H$8)))))))))</f>
        <v>290</v>
      </c>
      <c r="K53" s="864" t="s">
        <v>31</v>
      </c>
      <c r="L53" s="644" t="s">
        <v>8</v>
      </c>
      <c r="M53" s="644">
        <v>1</v>
      </c>
      <c r="N53" s="644"/>
      <c r="O53" s="637">
        <f t="shared" si="23"/>
        <v>42.625</v>
      </c>
      <c r="P53" s="646">
        <f>IF(K53="kompletna",J53*G53*0.0036*'Założenia,wskaźniki, listy'!$P$9,IF(K53="częściowa",J53*G53*0.0036*'Założenia,wskaźniki, listy'!$P$10,IF(K53="brak",J53*G53*0.0036*'Założenia,wskaźniki, listy'!$P$11,0)))</f>
        <v>62.64</v>
      </c>
      <c r="Q53" s="638">
        <f>H53*'Założenia,wskaźniki, listy'!$L$15</f>
        <v>0</v>
      </c>
      <c r="R53" s="635">
        <f>IF(L53="węgiel",'Mieszkalne - baza'!M53*'Założenia,wskaźniki, listy'!$B$4,IF(L53="gaz",'Mieszkalne - baza'!M53*'Założenia,wskaźniki, listy'!$B$5,IF(L53="drewno",'Mieszkalne - baza'!M53*'Założenia,wskaźniki, listy'!$B$6,IF(L53="pelet",'Mieszkalne - baza'!M53*'Założenia,wskaźniki, listy'!$B$7,IF(L53="olej opałowy",'Mieszkalne - baza'!M53*'Założenia,wskaźniki, listy'!$B$8,IF(L53="sieć ciepłownicza",0,0))))))</f>
        <v>22.61</v>
      </c>
      <c r="S53" s="1084">
        <v>1.7484000000000002</v>
      </c>
      <c r="T53" s="639">
        <f>IF(L53="węgiel",R53*'Założenia,wskaźniki, listy'!$C$44,IF(L53="gaz",R53*'Założenia,wskaźniki, listy'!$D$44,IF(L53="drewno",R53*'Założenia,wskaźniki, listy'!$E$44,IF(L53="pelet",R53*'Założenia,wskaźniki, listy'!$F$44,IF(L53="olej opałowy",R53*'Założenia,wskaźniki, listy'!$G$44,IF(L53="sieć ciepłownicza",0,IF(L53="prąd",0,0)))))))</f>
        <v>5.0872499999999998E-3</v>
      </c>
      <c r="U53" s="639">
        <f>IF(L53="węgiel",R53*'Założenia,wskaźniki, listy'!$C$45,IF(L53="gaz",R53*'Założenia,wskaźniki, listy'!$D$45,IF(L53="drewno",R53*'Założenia,wskaźniki, listy'!$E$45,IF(L53="pelet",R53*'Założenia,wskaźniki, listy'!$F$45,IF(L53="olej opałowy",R53*'Założenia,wskaźniki, listy'!$G$45,IF(L53="sieć ciepłownicza",0,IF(L53="prąd",0,0)))))))</f>
        <v>4.5446100000000001E-3</v>
      </c>
      <c r="V53" s="639">
        <f>IF(L53="węgiel",R53*'Założenia,wskaźniki, listy'!$C$46,IF(L53="gaz",R53*'Założenia,wskaźniki, listy'!$D$46,IF(L53="drewno",R53*'Założenia,wskaźniki, listy'!$E$46,IF(L53="pelet",R53*'Założenia,wskaźniki, listy'!$F$46,IF(L53="olej opałowy",R53*'Założenia,wskaźniki, listy'!$G$46,IF(L53="sieć ciepłownicza",R53*'Założenia,wskaźniki, listy'!$H$46,IF(L53="prąd",R53*'Założenia,wskaźniki, listy'!$I$46,0)))))))</f>
        <v>2.1194613999999996</v>
      </c>
      <c r="W53" s="639">
        <f>IF(L53="węgiel",R53*'Założenia,wskaźniki, listy'!$C$47,IF(L53="gaz",R53*'Założenia,wskaźniki, listy'!$D$47,IF(L53="drewno",R53*'Założenia,wskaźniki, listy'!$E$47,IF(L53="pelet",R53*'Założenia,wskaźniki, listy'!$F$47,IF(L53="olej opałowy",R53*'Założenia,wskaźniki, listy'!$G$47,IF(L53="sieć ciepłownicza",0,IF(L53="prąd",0,0)))))))</f>
        <v>6.1047000000000002E-6</v>
      </c>
      <c r="X53" s="639">
        <f>IF(L53="węgiel",R53*'Założenia,wskaźniki, listy'!$C$48, IF(L53="gaz",R53*'Założenia,wskaźniki, listy'!$D$48,IF(L53="drewno",R53*'Założenia,wskaźniki, listy'!$E$48,IF(L53="pelet",R53*'Założenia,wskaźniki, listy'!$F$48,IF(L53="olej opałowy",R53*'Założenia,wskaźniki, listy'!$G$48,IF(L53="sieć ciepłownicza",0,IF(L53="prąd",0,0)))))))</f>
        <v>2.0348999999999999E-2</v>
      </c>
      <c r="Y53" s="639">
        <f>IF(L53="węgiel",R53*'Założenia,wskaźniki, listy'!$C$49, IF(L53="gaz",R53*'Założenia,wskaźniki, listy'!$D$49, IF(L53="drewno",R53*'Założenia,wskaźniki, listy'!$E$49,IF(L53="pelet",R53*'Założenia,wskaźniki, listy'!$F$49,IF(L53="olej opałowy",R53*'Założenia,wskaźniki, listy'!$G$49,IF(L53="sieć ciepłownicza",0,IF(L53="prąd",0,0)))))))</f>
        <v>3.5723799999999996E-3</v>
      </c>
      <c r="Z53" s="639">
        <f>IF(L53="węgiel",R53*'Założenia,wskaźniki, listy'!$C$50,IF(L53="gaz",R53*'Założenia,wskaźniki, listy'!$D$50, IF(L53="drewno",R53*'Założenia,wskaźniki, listy'!$E$50,IF(L53="pelet",R53*'Założenia,wskaźniki, listy'!$F$50,IF(L53="pelet",R53*'Założenia,wskaźniki, listy'!$F$50,IF(L53="olej opałowy",R53*'Założenia,wskaźniki, listy'!$G$50,IF(L53="sieć ciepłownicza",0,IF(L53="prąd",0,0))))))))</f>
        <v>4.5482789450156456E-2</v>
      </c>
      <c r="AA53" s="639">
        <f>IF(N53="węgiel",Q53*'Założenia,wskaźniki, listy'!$C$44,IF(N53="gaz",Q53*'Założenia,wskaźniki, listy'!$D$44,IF(N53="drewno",Q53*'Założenia,wskaźniki, listy'!$E$44,IF(N53="pelet",Q53*'Założenia,wskaźniki, listy'!$G$44,IF(N53="olej opałowy",Q53*'Założenia,wskaźniki, listy'!$G$44,IF(N53="sieć ciepłownicza",0,IF(N53="prąd",0,0)))))))</f>
        <v>0</v>
      </c>
      <c r="AB53" s="639">
        <f>IF(N53="węgiel",Q53*'Założenia,wskaźniki, listy'!$C$45,IF(N53="gaz",Q53*'Założenia,wskaźniki, listy'!$D$45,IF(N53="drewno",Q53*'Założenia,wskaźniki, listy'!$E$45,IF(N53="pelet",Q53*'Założenia,wskaźniki, listy'!$G$45,IF(N53="olej opałowy",Q53*'Założenia,wskaźniki, listy'!$G$45,IF(N53="sieć ciepłownicza",0,IF(N53="prąd",0,0)))))))</f>
        <v>0</v>
      </c>
      <c r="AC53" s="639">
        <f>IF(N53="węgiel",Q53*'Założenia,wskaźniki, listy'!$C$46,IF(N53="gaz",Q53*'Założenia,wskaźniki, listy'!$D$46,IF(N53="drewno",Q53*'Założenia,wskaźniki, listy'!$E$46,IF(N53="pelet",Q53*'Założenia,wskaźniki, listy'!$G$46,IF(N53="olej opałowy",Q53*'Założenia,wskaźniki, listy'!$G$46,IF(N53="sieć ciepłownicza",0,IF(N53="prąd",0,0)))))))</f>
        <v>0</v>
      </c>
      <c r="AD53" s="639">
        <f>IF(N53="węgiel",Q53*'Założenia,wskaźniki, listy'!$C$47,IF(N53="gaz",Q53*'Założenia,wskaźniki, listy'!$D$47,IF(N53="drewno",Q53*'Założenia,wskaźniki, listy'!$E$47,IF(N53="pelet",Q53*'Założenia,wskaźniki, listy'!$G$47,IF(N53="olej opałowy",Q53*'Założenia,wskaźniki, listy'!$G$47,IF(N53="sieć ciepłownicza",0,IF(N53="prąd",0,0)))))))</f>
        <v>0</v>
      </c>
      <c r="AE53" s="639">
        <f>IF(N53="węgiel",Q53*'Założenia,wskaźniki, listy'!$C$48,IF(N53="gaz",Q53*'Założenia,wskaźniki, listy'!$D$48,IF(N53="drewno",Q53*'Założenia,wskaźniki, listy'!$E$48,IF(N53="pelet",Q53*'Założenia,wskaźniki, listy'!$G$48,IF(N53="olej opałowy",Q53*'Założenia,wskaźniki, listy'!$G$48,IF(N53="sieć ciepłownicza",0,IF(N53="prąd",0,0)))))))</f>
        <v>0</v>
      </c>
      <c r="AF53" s="639">
        <f>IF(N53="węgiel",Q53*'Założenia,wskaźniki, listy'!$C$49,IF(N53="gaz",Q53*'Założenia,wskaźniki, listy'!$D$49,IF(N53="drewno",Q53*'Założenia,wskaźniki, listy'!$E$49,IF(N53="pelet",Q53*'Założenia,wskaźniki, listy'!$G$49,IF(N53="olej opałowy",Q53*'Założenia,wskaźniki, listy'!$G$49,IF(N53="sieć ciepłownicza",0,IF(N53="prąd",0,0)))))))</f>
        <v>0</v>
      </c>
      <c r="AG53" s="639">
        <f>IF(N53="węgiel",Q53*'Założenia,wskaźniki, listy'!$C$50,IF(N53="gaz",Q53*'Założenia,wskaźniki, listy'!$D$50,IF(N53="drewno",Q53*'Założenia,wskaźniki, listy'!$E$50,IF(N53="pelet",Q53*'Założenia,wskaźniki, listy'!$G$50,IF(N53="olej opałowy",Q53*'Założenia,wskaźniki, listy'!$G$50,IF(N53="sieć ciepłownicza",0,IF(N53="prąd",0,0)))))))</f>
        <v>0</v>
      </c>
      <c r="AH53" s="640">
        <f>IF(L53="węgiel",(P53+R53)/2*'Założenia,wskaźniki, listy'!$C$4,IF(L53="gaz",(P53+R53)/2*'Założenia,wskaźniki, listy'!$C$5,IF(L53="drewno",(P53+R53)/2*'Założenia,wskaźniki, listy'!$C$6,IF(L53="pelet",(P53+R53)/2*'Założenia,wskaźniki, listy'!$C$7,IF(L53="olej opałowy",(P53+R53)/2*'Założenia,wskaźniki, listy'!$C$8,IF(L53="sieć ciepłownicza",(P53+R53)/2*'Założenia,wskaźniki, listy'!$C$9,IF(L53="sieć ciepłownicza",(P53+R53)/2*'Założenia,wskaźniki, listy'!$C$10,)))))))</f>
        <v>1747.625</v>
      </c>
      <c r="AI53" s="640">
        <f>IF(N53="węgiel",Q53*'Założenia,wskaźniki, listy'!$C$4,IF(N53="gaz",Q53*'Założenia,wskaźniki, listy'!$C$5,IF(N53="drewno",Q53*'Założenia,wskaźniki, listy'!$C$6,IF(N53="pelet",Q53*'Założenia,wskaźniki, listy'!$C$7,IF(N53="olej opałowy",Q53*'Założenia,wskaźniki, listy'!$C$8,IF(N53="sieć ciepłownicza",Q53*'Założenia,wskaźniki, listy'!$C$9,IF(N53="sieć ciepłownicza",Q53*'Założenia,wskaźniki, listy'!$C$10,0)))))))</f>
        <v>0</v>
      </c>
      <c r="AJ53" s="640">
        <f>S53*'Założenia,wskaźniki, listy'!$B$64*1000</f>
        <v>1241.364</v>
      </c>
      <c r="AK53" s="640">
        <f>(H53+I53)*'Założenia,wskaźniki, listy'!$D$64*12</f>
        <v>0</v>
      </c>
      <c r="AL53" s="640">
        <f>AK53*'Założenia,wskaźniki, listy'!$F$64</f>
        <v>0</v>
      </c>
      <c r="AM53" s="639">
        <f t="shared" si="95"/>
        <v>5.0872499999999998E-3</v>
      </c>
      <c r="AN53" s="639">
        <f t="shared" si="96"/>
        <v>4.5446100000000001E-3</v>
      </c>
      <c r="AO53" s="639">
        <f>V53+AC53+S53*'Założenia,wskaźniki, listy'!$J$46</f>
        <v>3.5732559999999998</v>
      </c>
      <c r="AP53" s="639">
        <f t="shared" si="97"/>
        <v>6.1047000000000002E-6</v>
      </c>
      <c r="AQ53" s="639">
        <f t="shared" si="98"/>
        <v>2.0348999999999999E-2</v>
      </c>
      <c r="AR53" s="639">
        <f t="shared" si="99"/>
        <v>3.5723799999999996E-3</v>
      </c>
      <c r="AS53" s="639">
        <f t="shared" si="100"/>
        <v>4.5482789450156456E-2</v>
      </c>
      <c r="AT53" s="647"/>
      <c r="AU53" s="647"/>
      <c r="AV53" s="624">
        <f t="shared" si="1"/>
        <v>60</v>
      </c>
      <c r="AW53" s="624" t="b">
        <f t="shared" si="2"/>
        <v>0</v>
      </c>
      <c r="AX53" s="624" t="b">
        <f t="shared" si="3"/>
        <v>0</v>
      </c>
      <c r="AY53" s="624" t="b">
        <f t="shared" si="4"/>
        <v>0</v>
      </c>
      <c r="AZ53" s="624" t="b">
        <f t="shared" si="5"/>
        <v>0</v>
      </c>
      <c r="BA53" s="624" t="b">
        <f t="shared" si="6"/>
        <v>0</v>
      </c>
      <c r="BB53" s="624" t="b">
        <f t="shared" si="7"/>
        <v>0</v>
      </c>
      <c r="BC53" s="624" t="b">
        <f t="shared" si="8"/>
        <v>0</v>
      </c>
      <c r="BD53" s="624" t="b">
        <f t="shared" si="9"/>
        <v>0</v>
      </c>
      <c r="BE53" s="624" t="b">
        <f t="shared" si="10"/>
        <v>0</v>
      </c>
      <c r="BF53" s="624">
        <f t="shared" si="11"/>
        <v>22.61</v>
      </c>
      <c r="BG53" s="624" t="b">
        <f t="shared" si="12"/>
        <v>0</v>
      </c>
      <c r="BH53" s="624" t="b">
        <f t="shared" si="13"/>
        <v>0</v>
      </c>
      <c r="BI53" s="624" t="b">
        <f t="shared" si="14"/>
        <v>0</v>
      </c>
      <c r="BJ53" s="624" t="b">
        <f t="shared" si="15"/>
        <v>0</v>
      </c>
      <c r="BK53" s="624" t="b">
        <f t="shared" si="16"/>
        <v>0</v>
      </c>
      <c r="BL53" s="624" t="b">
        <f t="shared" si="17"/>
        <v>0</v>
      </c>
      <c r="BM53" s="624" t="b">
        <f t="shared" si="18"/>
        <v>0</v>
      </c>
      <c r="BN53" s="624" t="b">
        <f t="shared" si="19"/>
        <v>0</v>
      </c>
      <c r="BO53" s="624" t="b">
        <f t="shared" si="20"/>
        <v>0</v>
      </c>
      <c r="BP53" s="624" t="b">
        <f t="shared" si="21"/>
        <v>0</v>
      </c>
      <c r="BQ53" s="624" t="b">
        <f t="shared" si="22"/>
        <v>0</v>
      </c>
    </row>
    <row r="54" spans="1:69">
      <c r="A54" s="1087"/>
      <c r="B54" s="872"/>
      <c r="C54" s="872"/>
      <c r="D54" s="645"/>
      <c r="E54" s="645"/>
      <c r="F54" s="644"/>
      <c r="G54" s="644"/>
      <c r="H54" s="644"/>
      <c r="I54" s="635"/>
      <c r="J54" s="644">
        <f>IF(F54&lt;=1966,'Założenia,wskaźniki, listy'!$H$4,IF(F54&gt;1966,IF(F54&lt;=1985,'Założenia,wskaźniki, listy'!$H$5,IF(F54&gt;1985,IF(F54&lt;=1992,'Założenia,wskaźniki, listy'!$H$6,IF(F54&gt;1992,IF(F54&lt;=1996,'Założenia,wskaźniki, listy'!$H$7,IF(F54&gt;1996,IF(F54&lt;=2015,'Założenia,wskaźniki, listy'!$H$8)))))))))</f>
        <v>290</v>
      </c>
      <c r="K54" s="864"/>
      <c r="L54" s="644" t="s">
        <v>79</v>
      </c>
      <c r="M54" s="644">
        <v>2</v>
      </c>
      <c r="N54" s="644"/>
      <c r="O54" s="637">
        <f t="shared" si="23"/>
        <v>30</v>
      </c>
      <c r="P54" s="646">
        <f>IF(K54="kompletna",J54*G54*0.0036*'Założenia,wskaźniki, listy'!$P$9,IF(K54="częściowa",J54*G54*0.0036*'Założenia,wskaźniki, listy'!$P$10,IF(K54="brak",J54*G54*0.0036*'Założenia,wskaźniki, listy'!$P$11,0)))</f>
        <v>0</v>
      </c>
      <c r="Q54" s="638">
        <f>H54*'Założenia,wskaźniki, listy'!$L$15</f>
        <v>0</v>
      </c>
      <c r="R54" s="635">
        <f>IF(L54="węgiel",'Mieszkalne - baza'!M54*'Założenia,wskaźniki, listy'!$B$4,IF(L54="gaz",'Mieszkalne - baza'!M54*'Założenia,wskaźniki, listy'!$B$5,IF(L54="drewno",'Mieszkalne - baza'!M54*'Założenia,wskaźniki, listy'!$B$6,IF(L54="pelet",'Mieszkalne - baza'!M54*'Założenia,wskaźniki, listy'!$B$7,IF(L54="olej opałowy",'Mieszkalne - baza'!M54*'Założenia,wskaźniki, listy'!$B$8,IF(L54="sieć ciepłownicza",0,0))))))</f>
        <v>30</v>
      </c>
      <c r="S54" s="1085"/>
      <c r="T54" s="639">
        <f>IF(L54="węgiel",R54*'Założenia,wskaźniki, listy'!$C$44,IF(L54="gaz",R54*'Założenia,wskaźniki, listy'!$D$44,IF(L54="drewno",R54*'Założenia,wskaźniki, listy'!$E$44,IF(L54="pelet",R54*'Założenia,wskaźniki, listy'!$F$44,IF(L54="olej opałowy",R54*'Założenia,wskaźniki, listy'!$G$44,IF(L54="sieć ciepłownicza",0,IF(L54="prąd",0,0)))))))</f>
        <v>1.44E-2</v>
      </c>
      <c r="U54" s="639">
        <f>IF(L54="węgiel",R54*'Założenia,wskaźniki, listy'!$C$45,IF(L54="gaz",R54*'Założenia,wskaźniki, listy'!$D$45,IF(L54="drewno",R54*'Założenia,wskaźniki, listy'!$E$45,IF(L54="pelet",R54*'Założenia,wskaźniki, listy'!$F$45,IF(L54="olej opałowy",R54*'Założenia,wskaźniki, listy'!$G$45,IF(L54="sieć ciepłownicza",0,IF(L54="prąd",0,0)))))))</f>
        <v>1.41E-2</v>
      </c>
      <c r="V54" s="639">
        <f>IF(L54="węgiel",R54*'Założenia,wskaźniki, listy'!$C$46,IF(L54="gaz",R54*'Założenia,wskaźniki, listy'!$D$46,IF(L54="drewno",R54*'Założenia,wskaźniki, listy'!$E$46,IF(L54="pelet",R54*'Założenia,wskaźniki, listy'!$F$46,IF(L54="olej opałowy",R54*'Założenia,wskaźniki, listy'!$G$46,IF(L54="sieć ciepłownicza",R54*'Założenia,wskaźniki, listy'!$H$46,IF(L54="prąd",R54*'Założenia,wskaźniki, listy'!$I$46,0)))))))</f>
        <v>0</v>
      </c>
      <c r="W54" s="639">
        <f>IF(L54="węgiel",R54*'Założenia,wskaźniki, listy'!$C$47,IF(L54="gaz",R54*'Założenia,wskaźniki, listy'!$D$47,IF(L54="drewno",R54*'Założenia,wskaźniki, listy'!$E$47,IF(L54="pelet",R54*'Założenia,wskaźniki, listy'!$F$47,IF(L54="olej opałowy",R54*'Założenia,wskaźniki, listy'!$G$47,IF(L54="sieć ciepłownicza",0,IF(L54="prąd",0,0)))))))</f>
        <v>3.6300000000000004E-6</v>
      </c>
      <c r="X54" s="639">
        <f>IF(L54="węgiel",R54*'Założenia,wskaźniki, listy'!$C$48, IF(L54="gaz",R54*'Założenia,wskaźniki, listy'!$D$48,IF(L54="drewno",R54*'Założenia,wskaźniki, listy'!$E$48,IF(L54="pelet",R54*'Założenia,wskaźniki, listy'!$F$48,IF(L54="olej opałowy",R54*'Założenia,wskaźniki, listy'!$G$48,IF(L54="sieć ciepłownicza",0,IF(L54="prąd",0,0)))))))</f>
        <v>3.3E-4</v>
      </c>
      <c r="Y54" s="639">
        <f>IF(L54="węgiel",R54*'Założenia,wskaźniki, listy'!$C$49, IF(L54="gaz",R54*'Założenia,wskaźniki, listy'!$D$49, IF(L54="drewno",R54*'Założenia,wskaźniki, listy'!$E$49,IF(L54="pelet",R54*'Założenia,wskaźniki, listy'!$F$49,IF(L54="olej opałowy",R54*'Założenia,wskaźniki, listy'!$G$49,IF(L54="sieć ciepłownicza",0,IF(L54="prąd",0,0)))))))</f>
        <v>2.4000000000000002E-3</v>
      </c>
      <c r="Z54" s="639">
        <f>IF(L54="węgiel",R54*'Założenia,wskaźniki, listy'!$C$50,IF(L54="gaz",R54*'Założenia,wskaźniki, listy'!$D$50, IF(L54="drewno",R54*'Założenia,wskaźniki, listy'!$E$50,IF(L54="pelet",R54*'Założenia,wskaźniki, listy'!$F$50,IF(L54="pelet",R54*'Założenia,wskaźniki, listy'!$F$50,IF(L54="olej opałowy",R54*'Założenia,wskaźniki, listy'!$G$50,IF(L54="sieć ciepłownicza",0,IF(L54="prąd",0,0))))))))</f>
        <v>5.3819999999999996E-3</v>
      </c>
      <c r="AA54" s="639">
        <f>IF(N54="węgiel",Q54*'Założenia,wskaźniki, listy'!$C$44,IF(N54="gaz",Q54*'Założenia,wskaźniki, listy'!$D$44,IF(N54="drewno",Q54*'Założenia,wskaźniki, listy'!$E$44,IF(N54="pelet",Q54*'Założenia,wskaźniki, listy'!$G$44,IF(N54="olej opałowy",Q54*'Założenia,wskaźniki, listy'!$G$44,IF(N54="sieć ciepłownicza",0,IF(N54="prąd",0,0)))))))</f>
        <v>0</v>
      </c>
      <c r="AB54" s="639">
        <f>IF(N54="węgiel",Q54*'Założenia,wskaźniki, listy'!$C$45,IF(N54="gaz",Q54*'Założenia,wskaźniki, listy'!$D$45,IF(N54="drewno",Q54*'Założenia,wskaźniki, listy'!$E$45,IF(N54="pelet",Q54*'Założenia,wskaźniki, listy'!$G$45,IF(N54="olej opałowy",Q54*'Założenia,wskaźniki, listy'!$G$45,IF(N54="sieć ciepłownicza",0,IF(N54="prąd",0,0)))))))</f>
        <v>0</v>
      </c>
      <c r="AC54" s="639">
        <f>IF(N54="węgiel",Q54*'Założenia,wskaźniki, listy'!$C$46,IF(N54="gaz",Q54*'Założenia,wskaźniki, listy'!$D$46,IF(N54="drewno",Q54*'Założenia,wskaźniki, listy'!$E$46,IF(N54="pelet",Q54*'Założenia,wskaźniki, listy'!$G$46,IF(N54="olej opałowy",Q54*'Założenia,wskaźniki, listy'!$G$46,IF(N54="sieć ciepłownicza",0,IF(N54="prąd",0,0)))))))</f>
        <v>0</v>
      </c>
      <c r="AD54" s="639">
        <f>IF(N54="węgiel",Q54*'Założenia,wskaźniki, listy'!$C$47,IF(N54="gaz",Q54*'Założenia,wskaźniki, listy'!$D$47,IF(N54="drewno",Q54*'Założenia,wskaźniki, listy'!$E$47,IF(N54="pelet",Q54*'Założenia,wskaźniki, listy'!$G$47,IF(N54="olej opałowy",Q54*'Założenia,wskaźniki, listy'!$G$47,IF(N54="sieć ciepłownicza",0,IF(N54="prąd",0,0)))))))</f>
        <v>0</v>
      </c>
      <c r="AE54" s="639">
        <f>IF(N54="węgiel",Q54*'Założenia,wskaźniki, listy'!$C$48,IF(N54="gaz",Q54*'Założenia,wskaźniki, listy'!$D$48,IF(N54="drewno",Q54*'Założenia,wskaźniki, listy'!$E$48,IF(N54="pelet",Q54*'Założenia,wskaźniki, listy'!$G$48,IF(N54="olej opałowy",Q54*'Założenia,wskaźniki, listy'!$G$48,IF(N54="sieć ciepłownicza",0,IF(N54="prąd",0,0)))))))</f>
        <v>0</v>
      </c>
      <c r="AF54" s="639">
        <f>IF(N54="węgiel",Q54*'Założenia,wskaźniki, listy'!$C$49,IF(N54="gaz",Q54*'Założenia,wskaźniki, listy'!$D$49,IF(N54="drewno",Q54*'Założenia,wskaźniki, listy'!$E$49,IF(N54="pelet",Q54*'Założenia,wskaźniki, listy'!$G$49,IF(N54="olej opałowy",Q54*'Założenia,wskaźniki, listy'!$G$49,IF(N54="sieć ciepłownicza",0,IF(N54="prąd",0,0)))))))</f>
        <v>0</v>
      </c>
      <c r="AG54" s="639">
        <f>IF(N54="węgiel",Q54*'Założenia,wskaźniki, listy'!$C$50,IF(N54="gaz",Q54*'Założenia,wskaźniki, listy'!$D$50,IF(N54="drewno",Q54*'Założenia,wskaźniki, listy'!$E$50,IF(N54="pelet",Q54*'Założenia,wskaźniki, listy'!$G$50,IF(N54="olej opałowy",Q54*'Założenia,wskaźniki, listy'!$G$50,IF(N54="sieć ciepłownicza",0,IF(N54="prąd",0,0)))))))</f>
        <v>0</v>
      </c>
      <c r="AH54" s="640">
        <f>IF(L54="węgiel",(P54+R54)/2*'Założenia,wskaźniki, listy'!$C$4,IF(L54="gaz",(P54+R54)/2*'Założenia,wskaźniki, listy'!$C$5,IF(L54="drewno",(P54+R54)/2*'Założenia,wskaźniki, listy'!$C$6,IF(L54="pelet",(P54+R54)/2*'Założenia,wskaźniki, listy'!$C$7,IF(L54="olej opałowy",(P54+R54)/2*'Założenia,wskaźniki, listy'!$C$8,IF(L54="sieć ciepłownicza",(P54+R54)/2*'Założenia,wskaźniki, listy'!$C$9,IF(L54="sieć ciepłownicza",(P54+R54)/2*'Założenia,wskaźniki, listy'!$C$10,)))))))</f>
        <v>570</v>
      </c>
      <c r="AI54" s="640">
        <f>IF(N54="węgiel",Q54*'Założenia,wskaźniki, listy'!$C$4,IF(N54="gaz",Q54*'Założenia,wskaźniki, listy'!$C$5,IF(N54="drewno",Q54*'Założenia,wskaźniki, listy'!$C$6,IF(N54="pelet",Q54*'Założenia,wskaźniki, listy'!$C$7,IF(N54="olej opałowy",Q54*'Założenia,wskaźniki, listy'!$C$8,IF(N54="sieć ciepłownicza",Q54*'Założenia,wskaźniki, listy'!$C$9,IF(N54="sieć ciepłownicza",Q54*'Założenia,wskaźniki, listy'!$C$10,0)))))))</f>
        <v>0</v>
      </c>
      <c r="AJ54" s="640">
        <f>S54*'Założenia,wskaźniki, listy'!$B$64*1000</f>
        <v>0</v>
      </c>
      <c r="AK54" s="640">
        <f>(H54+I54)*'Założenia,wskaźniki, listy'!$D$64*12</f>
        <v>0</v>
      </c>
      <c r="AL54" s="640">
        <f>AK54*'Założenia,wskaźniki, listy'!$F$64</f>
        <v>0</v>
      </c>
      <c r="AM54" s="639">
        <f t="shared" si="95"/>
        <v>1.44E-2</v>
      </c>
      <c r="AN54" s="639">
        <f t="shared" si="96"/>
        <v>1.41E-2</v>
      </c>
      <c r="AO54" s="639">
        <f>V54+AC54+S54*'Założenia,wskaźniki, listy'!$J$46</f>
        <v>0</v>
      </c>
      <c r="AP54" s="639">
        <f t="shared" si="97"/>
        <v>3.6300000000000004E-6</v>
      </c>
      <c r="AQ54" s="639">
        <f t="shared" si="98"/>
        <v>3.3E-4</v>
      </c>
      <c r="AR54" s="639">
        <f t="shared" si="99"/>
        <v>2.4000000000000002E-3</v>
      </c>
      <c r="AS54" s="639">
        <f t="shared" si="100"/>
        <v>5.3819999999999996E-3</v>
      </c>
      <c r="AT54" s="647"/>
      <c r="AU54" s="647"/>
      <c r="AV54" s="624">
        <f t="shared" si="1"/>
        <v>0</v>
      </c>
      <c r="AW54" s="624" t="b">
        <f t="shared" si="2"/>
        <v>0</v>
      </c>
      <c r="AX54" s="624" t="b">
        <f t="shared" si="3"/>
        <v>0</v>
      </c>
      <c r="AY54" s="624" t="b">
        <f t="shared" si="4"/>
        <v>0</v>
      </c>
      <c r="AZ54" s="624" t="b">
        <f t="shared" si="5"/>
        <v>0</v>
      </c>
      <c r="BA54" s="624" t="b">
        <f t="shared" si="6"/>
        <v>0</v>
      </c>
      <c r="BB54" s="624" t="b">
        <f t="shared" si="7"/>
        <v>0</v>
      </c>
      <c r="BC54" s="624" t="b">
        <f t="shared" si="8"/>
        <v>0</v>
      </c>
      <c r="BD54" s="624" t="b">
        <f t="shared" si="9"/>
        <v>0</v>
      </c>
      <c r="BE54" s="624" t="b">
        <f t="shared" si="10"/>
        <v>0</v>
      </c>
      <c r="BF54" s="624" t="b">
        <f t="shared" si="11"/>
        <v>0</v>
      </c>
      <c r="BG54" s="624" t="b">
        <f t="shared" si="12"/>
        <v>0</v>
      </c>
      <c r="BH54" s="624">
        <f t="shared" si="13"/>
        <v>30</v>
      </c>
      <c r="BI54" s="624" t="b">
        <f t="shared" si="14"/>
        <v>0</v>
      </c>
      <c r="BJ54" s="624" t="b">
        <f t="shared" si="15"/>
        <v>0</v>
      </c>
      <c r="BK54" s="624" t="b">
        <f t="shared" si="16"/>
        <v>0</v>
      </c>
      <c r="BL54" s="624" t="b">
        <f t="shared" si="17"/>
        <v>0</v>
      </c>
      <c r="BM54" s="624" t="b">
        <f t="shared" si="18"/>
        <v>0</v>
      </c>
      <c r="BN54" s="624" t="b">
        <f t="shared" si="19"/>
        <v>0</v>
      </c>
      <c r="BO54" s="624" t="b">
        <f t="shared" si="20"/>
        <v>0</v>
      </c>
      <c r="BP54" s="624" t="b">
        <f t="shared" si="21"/>
        <v>0</v>
      </c>
      <c r="BQ54" s="624" t="b">
        <f t="shared" si="22"/>
        <v>0</v>
      </c>
    </row>
    <row r="55" spans="1:69">
      <c r="A55" s="1086">
        <v>26</v>
      </c>
      <c r="B55" s="872" t="s">
        <v>21</v>
      </c>
      <c r="C55" s="873" t="s">
        <v>621</v>
      </c>
      <c r="D55" s="645" t="s">
        <v>628</v>
      </c>
      <c r="E55" s="645">
        <v>26</v>
      </c>
      <c r="F55" s="644">
        <v>1965</v>
      </c>
      <c r="G55" s="644">
        <v>110</v>
      </c>
      <c r="H55" s="644"/>
      <c r="I55" s="635"/>
      <c r="J55" s="644">
        <f>IF(F55&lt;=1966,'Założenia,wskaźniki, listy'!$H$4,IF(F55&gt;1966,IF(F55&lt;=1985,'Założenia,wskaźniki, listy'!$H$5,IF(F55&gt;1985,IF(F55&lt;=1992,'Założenia,wskaźniki, listy'!$H$6,IF(F55&gt;1992,IF(F55&lt;=1996,'Założenia,wskaźniki, listy'!$H$7,IF(F55&gt;1996,IF(F55&lt;=2015,'Założenia,wskaźniki, listy'!$H$8)))))))))</f>
        <v>290</v>
      </c>
      <c r="K55" s="864" t="s">
        <v>32</v>
      </c>
      <c r="L55" s="872" t="s">
        <v>8</v>
      </c>
      <c r="M55" s="872">
        <v>2</v>
      </c>
      <c r="N55" s="644"/>
      <c r="O55" s="637">
        <f t="shared" si="23"/>
        <v>57.061999999999998</v>
      </c>
      <c r="P55" s="646">
        <f>IF(K55="kompletna",J55*G55*0.0036*'Założenia,wskaźniki, listy'!$P$9,IF(K55="częściowa",J55*G55*0.0036*'Założenia,wskaźniki, listy'!$P$10,IF(K55="brak",J55*G55*0.0036*'Założenia,wskaźniki, listy'!$P$11,0)))</f>
        <v>68.903999999999996</v>
      </c>
      <c r="Q55" s="638">
        <f>H55*'Założenia,wskaźniki, listy'!$L$15</f>
        <v>0</v>
      </c>
      <c r="R55" s="635">
        <f>IF(L55="węgiel",'Mieszkalne - baza'!M55*'Założenia,wskaźniki, listy'!$B$4,IF(L55="gaz",'Mieszkalne - baza'!M55*'Założenia,wskaźniki, listy'!$B$5,IF(L55="drewno",'Mieszkalne - baza'!M55*'Założenia,wskaźniki, listy'!$B$6,IF(L55="pelet",'Mieszkalne - baza'!M55*'Założenia,wskaźniki, listy'!$B$7,IF(L55="olej opałowy",'Mieszkalne - baza'!M55*'Założenia,wskaźniki, listy'!$B$8,IF(L55="sieć ciepłownicza",0,0))))))</f>
        <v>45.22</v>
      </c>
      <c r="S55" s="1084">
        <v>1.974</v>
      </c>
      <c r="T55" s="639">
        <f>IF(L55="węgiel",R55*'Założenia,wskaźniki, listy'!$C$44,IF(L55="gaz",R55*'Założenia,wskaźniki, listy'!$D$44,IF(L55="drewno",R55*'Założenia,wskaźniki, listy'!$E$44,IF(L55="pelet",R55*'Założenia,wskaźniki, listy'!$F$44,IF(L55="olej opałowy",R55*'Założenia,wskaźniki, listy'!$G$44,IF(L55="sieć ciepłownicza",0,IF(L55="prąd",0,0)))))))</f>
        <v>1.01745E-2</v>
      </c>
      <c r="U55" s="639">
        <f>IF(L55="węgiel",R55*'Założenia,wskaźniki, listy'!$C$45,IF(L55="gaz",R55*'Założenia,wskaźniki, listy'!$D$45,IF(L55="drewno",R55*'Założenia,wskaźniki, listy'!$E$45,IF(L55="pelet",R55*'Założenia,wskaźniki, listy'!$F$45,IF(L55="olej opałowy",R55*'Założenia,wskaźniki, listy'!$G$45,IF(L55="sieć ciepłownicza",0,IF(L55="prąd",0,0)))))))</f>
        <v>9.0892200000000003E-3</v>
      </c>
      <c r="V55" s="639">
        <f>IF(L55="węgiel",R55*'Założenia,wskaźniki, listy'!$C$46,IF(L55="gaz",R55*'Założenia,wskaźniki, listy'!$D$46,IF(L55="drewno",R55*'Założenia,wskaźniki, listy'!$E$46,IF(L55="pelet",R55*'Założenia,wskaźniki, listy'!$F$46,IF(L55="olej opałowy",R55*'Założenia,wskaźniki, listy'!$G$46,IF(L55="sieć ciepłownicza",R55*'Założenia,wskaźniki, listy'!$H$46,IF(L55="prąd",R55*'Założenia,wskaźniki, listy'!$I$46,0)))))))</f>
        <v>4.2389227999999992</v>
      </c>
      <c r="W55" s="639">
        <f>IF(L55="węgiel",R55*'Założenia,wskaźniki, listy'!$C$47,IF(L55="gaz",R55*'Założenia,wskaźniki, listy'!$D$47,IF(L55="drewno",R55*'Założenia,wskaźniki, listy'!$E$47,IF(L55="pelet",R55*'Założenia,wskaźniki, listy'!$F$47,IF(L55="olej opałowy",R55*'Założenia,wskaźniki, listy'!$G$47,IF(L55="sieć ciepłownicza",0,IF(L55="prąd",0,0)))))))</f>
        <v>1.22094E-5</v>
      </c>
      <c r="X55" s="639">
        <f>IF(L55="węgiel",R55*'Założenia,wskaźniki, listy'!$C$48, IF(L55="gaz",R55*'Założenia,wskaźniki, listy'!$D$48,IF(L55="drewno",R55*'Założenia,wskaźniki, listy'!$E$48,IF(L55="pelet",R55*'Założenia,wskaźniki, listy'!$F$48,IF(L55="olej opałowy",R55*'Założenia,wskaźniki, listy'!$G$48,IF(L55="sieć ciepłownicza",0,IF(L55="prąd",0,0)))))))</f>
        <v>4.0697999999999998E-2</v>
      </c>
      <c r="Y55" s="639">
        <f>IF(L55="węgiel",R55*'Założenia,wskaźniki, listy'!$C$49, IF(L55="gaz",R55*'Założenia,wskaźniki, listy'!$D$49, IF(L55="drewno",R55*'Założenia,wskaźniki, listy'!$E$49,IF(L55="pelet",R55*'Założenia,wskaźniki, listy'!$F$49,IF(L55="olej opałowy",R55*'Założenia,wskaźniki, listy'!$G$49,IF(L55="sieć ciepłownicza",0,IF(L55="prąd",0,0)))))))</f>
        <v>7.1447599999999991E-3</v>
      </c>
      <c r="Z55" s="639">
        <f>IF(L55="węgiel",R55*'Założenia,wskaźniki, listy'!$C$50,IF(L55="gaz",R55*'Założenia,wskaźniki, listy'!$D$50, IF(L55="drewno",R55*'Założenia,wskaźniki, listy'!$E$50,IF(L55="pelet",R55*'Założenia,wskaźniki, listy'!$F$50,IF(L55="pelet",R55*'Założenia,wskaźniki, listy'!$F$50,IF(L55="olej opałowy",R55*'Założenia,wskaźniki, listy'!$G$50,IF(L55="sieć ciepłownicza",0,IF(L55="prąd",0,0))))))))</f>
        <v>9.0965578900312913E-2</v>
      </c>
      <c r="AA55" s="639">
        <f>IF(N55="węgiel",Q55*'Założenia,wskaźniki, listy'!$C$44,IF(N55="gaz",Q55*'Założenia,wskaźniki, listy'!$D$44,IF(N55="drewno",Q55*'Założenia,wskaźniki, listy'!$E$44,IF(N55="pelet",Q55*'Założenia,wskaźniki, listy'!$G$44,IF(N55="olej opałowy",Q55*'Założenia,wskaźniki, listy'!$G$44,IF(N55="sieć ciepłownicza",0,IF(N55="prąd",0,0)))))))</f>
        <v>0</v>
      </c>
      <c r="AB55" s="639">
        <f>IF(N55="węgiel",Q55*'Założenia,wskaźniki, listy'!$C$45,IF(N55="gaz",Q55*'Założenia,wskaźniki, listy'!$D$45,IF(N55="drewno",Q55*'Założenia,wskaźniki, listy'!$E$45,IF(N55="pelet",Q55*'Założenia,wskaźniki, listy'!$G$45,IF(N55="olej opałowy",Q55*'Założenia,wskaźniki, listy'!$G$45,IF(N55="sieć ciepłownicza",0,IF(N55="prąd",0,0)))))))</f>
        <v>0</v>
      </c>
      <c r="AC55" s="639">
        <f>IF(N55="węgiel",Q55*'Założenia,wskaźniki, listy'!$C$46,IF(N55="gaz",Q55*'Założenia,wskaźniki, listy'!$D$46,IF(N55="drewno",Q55*'Założenia,wskaźniki, listy'!$E$46,IF(N55="pelet",Q55*'Założenia,wskaźniki, listy'!$G$46,IF(N55="olej opałowy",Q55*'Założenia,wskaźniki, listy'!$G$46,IF(N55="sieć ciepłownicza",0,IF(N55="prąd",0,0)))))))</f>
        <v>0</v>
      </c>
      <c r="AD55" s="639">
        <f>IF(N55="węgiel",Q55*'Założenia,wskaźniki, listy'!$C$47,IF(N55="gaz",Q55*'Założenia,wskaźniki, listy'!$D$47,IF(N55="drewno",Q55*'Założenia,wskaźniki, listy'!$E$47,IF(N55="pelet",Q55*'Założenia,wskaźniki, listy'!$G$47,IF(N55="olej opałowy",Q55*'Założenia,wskaźniki, listy'!$G$47,IF(N55="sieć ciepłownicza",0,IF(N55="prąd",0,0)))))))</f>
        <v>0</v>
      </c>
      <c r="AE55" s="639">
        <f>IF(N55="węgiel",Q55*'Założenia,wskaźniki, listy'!$C$48,IF(N55="gaz",Q55*'Założenia,wskaźniki, listy'!$D$48,IF(N55="drewno",Q55*'Założenia,wskaźniki, listy'!$E$48,IF(N55="pelet",Q55*'Założenia,wskaźniki, listy'!$G$48,IF(N55="olej opałowy",Q55*'Założenia,wskaźniki, listy'!$G$48,IF(N55="sieć ciepłownicza",0,IF(N55="prąd",0,0)))))))</f>
        <v>0</v>
      </c>
      <c r="AF55" s="639">
        <f>IF(N55="węgiel",Q55*'Założenia,wskaźniki, listy'!$C$49,IF(N55="gaz",Q55*'Założenia,wskaźniki, listy'!$D$49,IF(N55="drewno",Q55*'Założenia,wskaźniki, listy'!$E$49,IF(N55="pelet",Q55*'Założenia,wskaźniki, listy'!$G$49,IF(N55="olej opałowy",Q55*'Założenia,wskaźniki, listy'!$G$49,IF(N55="sieć ciepłownicza",0,IF(N55="prąd",0,0)))))))</f>
        <v>0</v>
      </c>
      <c r="AG55" s="639">
        <f>IF(N55="węgiel",Q55*'Założenia,wskaźniki, listy'!$C$50,IF(N55="gaz",Q55*'Założenia,wskaźniki, listy'!$D$50,IF(N55="drewno",Q55*'Założenia,wskaźniki, listy'!$E$50,IF(N55="pelet",Q55*'Założenia,wskaźniki, listy'!$G$50,IF(N55="olej opałowy",Q55*'Założenia,wskaźniki, listy'!$G$50,IF(N55="sieć ciepłownicza",0,IF(N55="prąd",0,0)))))))</f>
        <v>0</v>
      </c>
      <c r="AH55" s="640">
        <f>IF(L55="węgiel",(P55+R55)/2*'Założenia,wskaźniki, listy'!$C$4,IF(L55="gaz",(P55+R55)/2*'Założenia,wskaźniki, listy'!$C$5,IF(L55="drewno",(P55+R55)/2*'Założenia,wskaźniki, listy'!$C$6,IF(L55="pelet",(P55+R55)/2*'Założenia,wskaźniki, listy'!$C$7,IF(L55="olej opałowy",(P55+R55)/2*'Założenia,wskaźniki, listy'!$C$8,IF(L55="sieć ciepłownicza",(P55+R55)/2*'Założenia,wskaźniki, listy'!$C$9,IF(L55="sieć ciepłownicza",(P55+R55)/2*'Założenia,wskaźniki, listy'!$C$10,)))))))</f>
        <v>2339.5419999999999</v>
      </c>
      <c r="AI55" s="640">
        <f>IF(N55="węgiel",Q55*'Założenia,wskaźniki, listy'!$C$4,IF(N55="gaz",Q55*'Założenia,wskaźniki, listy'!$C$5,IF(N55="drewno",Q55*'Założenia,wskaźniki, listy'!$C$6,IF(N55="pelet",Q55*'Założenia,wskaźniki, listy'!$C$7,IF(N55="olej opałowy",Q55*'Założenia,wskaźniki, listy'!$C$8,IF(N55="sieć ciepłownicza",Q55*'Założenia,wskaźniki, listy'!$C$9,IF(N55="sieć ciepłownicza",Q55*'Założenia,wskaźniki, listy'!$C$10,0)))))))</f>
        <v>0</v>
      </c>
      <c r="AJ55" s="640">
        <f>S55*'Założenia,wskaźniki, listy'!$B$64*1000</f>
        <v>1401.54</v>
      </c>
      <c r="AK55" s="640">
        <f>(H55+I55)*'Założenia,wskaźniki, listy'!$D$64*12</f>
        <v>0</v>
      </c>
      <c r="AL55" s="640">
        <f>AK55*'Założenia,wskaźniki, listy'!$F$64</f>
        <v>0</v>
      </c>
      <c r="AM55" s="639">
        <f t="shared" si="95"/>
        <v>1.01745E-2</v>
      </c>
      <c r="AN55" s="639">
        <f t="shared" si="96"/>
        <v>9.0892200000000003E-3</v>
      </c>
      <c r="AO55" s="639">
        <f>V55+AC55+S55*'Założenia,wskaźniki, listy'!$J$46</f>
        <v>5.8803037999999992</v>
      </c>
      <c r="AP55" s="639">
        <f t="shared" si="97"/>
        <v>1.22094E-5</v>
      </c>
      <c r="AQ55" s="639">
        <f t="shared" si="98"/>
        <v>4.0697999999999998E-2</v>
      </c>
      <c r="AR55" s="639">
        <f t="shared" si="99"/>
        <v>7.1447599999999991E-3</v>
      </c>
      <c r="AS55" s="639">
        <f t="shared" si="100"/>
        <v>9.0965578900312913E-2</v>
      </c>
      <c r="AT55" s="647"/>
      <c r="AU55" s="647"/>
      <c r="AV55" s="624">
        <f t="shared" si="1"/>
        <v>110</v>
      </c>
      <c r="AW55" s="624">
        <f t="shared" si="2"/>
        <v>110</v>
      </c>
      <c r="AX55" s="624" t="b">
        <f t="shared" si="3"/>
        <v>0</v>
      </c>
      <c r="AY55" s="624" t="b">
        <f t="shared" si="4"/>
        <v>0</v>
      </c>
      <c r="AZ55" s="624" t="b">
        <f t="shared" si="5"/>
        <v>0</v>
      </c>
      <c r="BA55" s="624" t="b">
        <f t="shared" si="6"/>
        <v>0</v>
      </c>
      <c r="BB55" s="624" t="b">
        <f t="shared" si="7"/>
        <v>0</v>
      </c>
      <c r="BC55" s="624" t="b">
        <f t="shared" si="8"/>
        <v>0</v>
      </c>
      <c r="BD55" s="624" t="b">
        <f t="shared" si="9"/>
        <v>0</v>
      </c>
      <c r="BE55" s="624" t="b">
        <f t="shared" si="10"/>
        <v>0</v>
      </c>
      <c r="BF55" s="624">
        <f t="shared" si="11"/>
        <v>45.22</v>
      </c>
      <c r="BG55" s="624" t="b">
        <f t="shared" si="12"/>
        <v>0</v>
      </c>
      <c r="BH55" s="624" t="b">
        <f t="shared" si="13"/>
        <v>0</v>
      </c>
      <c r="BI55" s="624" t="b">
        <f t="shared" si="14"/>
        <v>0</v>
      </c>
      <c r="BJ55" s="624" t="b">
        <f t="shared" si="15"/>
        <v>0</v>
      </c>
      <c r="BK55" s="624" t="b">
        <f t="shared" si="16"/>
        <v>0</v>
      </c>
      <c r="BL55" s="624" t="b">
        <f t="shared" si="17"/>
        <v>0</v>
      </c>
      <c r="BM55" s="624" t="b">
        <f t="shared" si="18"/>
        <v>0</v>
      </c>
      <c r="BN55" s="624" t="b">
        <f t="shared" si="19"/>
        <v>0</v>
      </c>
      <c r="BO55" s="624" t="b">
        <f t="shared" si="20"/>
        <v>0</v>
      </c>
      <c r="BP55" s="624" t="b">
        <f t="shared" si="21"/>
        <v>0</v>
      </c>
      <c r="BQ55" s="624" t="b">
        <f t="shared" si="22"/>
        <v>0</v>
      </c>
    </row>
    <row r="56" spans="1:69">
      <c r="A56" s="1086"/>
      <c r="B56" s="872"/>
      <c r="C56" s="872"/>
      <c r="D56" s="645"/>
      <c r="E56" s="645"/>
      <c r="F56" s="644"/>
      <c r="G56" s="644"/>
      <c r="H56" s="644"/>
      <c r="I56" s="635"/>
      <c r="J56" s="644">
        <f>IF(F56&lt;=1966,'Założenia,wskaźniki, listy'!$H$4,IF(F56&gt;1966,IF(F56&lt;=1985,'Założenia,wskaźniki, listy'!$H$5,IF(F56&gt;1985,IF(F56&lt;=1992,'Założenia,wskaźniki, listy'!$H$6,IF(F56&gt;1992,IF(F56&lt;=1996,'Założenia,wskaźniki, listy'!$H$7,IF(F56&gt;1996,IF(F56&lt;=2015,'Założenia,wskaźniki, listy'!$H$8)))))))))</f>
        <v>290</v>
      </c>
      <c r="K56" s="872"/>
      <c r="L56" s="872" t="s">
        <v>79</v>
      </c>
      <c r="M56" s="872">
        <v>1</v>
      </c>
      <c r="N56" s="644"/>
      <c r="O56" s="637">
        <f t="shared" si="23"/>
        <v>15</v>
      </c>
      <c r="P56" s="646">
        <f>IF(K56="kompletna",J56*G56*0.0036*'Założenia,wskaźniki, listy'!$P$9,IF(K56="częściowa",J56*G56*0.0036*'Założenia,wskaźniki, listy'!$P$10,IF(K56="brak",J56*G56*0.0036*'Założenia,wskaźniki, listy'!$P$11,0)))</f>
        <v>0</v>
      </c>
      <c r="Q56" s="638">
        <f>H56*'Założenia,wskaźniki, listy'!$L$15</f>
        <v>0</v>
      </c>
      <c r="R56" s="635">
        <f>IF(L56="węgiel",'Mieszkalne - baza'!M56*'Założenia,wskaźniki, listy'!$B$4,IF(L56="gaz",'Mieszkalne - baza'!M56*'Założenia,wskaźniki, listy'!$B$5,IF(L56="drewno",'Mieszkalne - baza'!M56*'Założenia,wskaźniki, listy'!$B$6,IF(L56="pelet",'Mieszkalne - baza'!M56*'Założenia,wskaźniki, listy'!$B$7,IF(L56="olej opałowy",'Mieszkalne - baza'!M56*'Założenia,wskaźniki, listy'!$B$8,IF(L56="sieć ciepłownicza",0,0))))))</f>
        <v>15</v>
      </c>
      <c r="S56" s="1085"/>
      <c r="T56" s="639">
        <f>IF(L56="węgiel",R56*'Założenia,wskaźniki, listy'!$C$44,IF(L56="gaz",R56*'Założenia,wskaźniki, listy'!$D$44,IF(L56="drewno",R56*'Założenia,wskaźniki, listy'!$E$44,IF(L56="pelet",R56*'Założenia,wskaźniki, listy'!$F$44,IF(L56="olej opałowy",R56*'Założenia,wskaźniki, listy'!$G$44,IF(L56="sieć ciepłownicza",0,IF(L56="prąd",0,0)))))))</f>
        <v>7.1999999999999998E-3</v>
      </c>
      <c r="U56" s="639">
        <f>IF(L56="węgiel",R56*'Założenia,wskaźniki, listy'!$C$45,IF(L56="gaz",R56*'Założenia,wskaźniki, listy'!$D$45,IF(L56="drewno",R56*'Założenia,wskaźniki, listy'!$E$45,IF(L56="pelet",R56*'Założenia,wskaźniki, listy'!$F$45,IF(L56="olej opałowy",R56*'Założenia,wskaźniki, listy'!$G$45,IF(L56="sieć ciepłownicza",0,IF(L56="prąd",0,0)))))))</f>
        <v>7.0499999999999998E-3</v>
      </c>
      <c r="V56" s="639">
        <f>IF(L56="węgiel",R56*'Założenia,wskaźniki, listy'!$C$46,IF(L56="gaz",R56*'Założenia,wskaźniki, listy'!$D$46,IF(L56="drewno",R56*'Założenia,wskaźniki, listy'!$E$46,IF(L56="pelet",R56*'Założenia,wskaźniki, listy'!$F$46,IF(L56="olej opałowy",R56*'Założenia,wskaźniki, listy'!$G$46,IF(L56="sieć ciepłownicza",R56*'Założenia,wskaźniki, listy'!$H$46,IF(L56="prąd",R56*'Założenia,wskaźniki, listy'!$I$46,0)))))))</f>
        <v>0</v>
      </c>
      <c r="W56" s="639">
        <f>IF(L56="węgiel",R56*'Założenia,wskaźniki, listy'!$C$47,IF(L56="gaz",R56*'Założenia,wskaźniki, listy'!$D$47,IF(L56="drewno",R56*'Założenia,wskaźniki, listy'!$E$47,IF(L56="pelet",R56*'Założenia,wskaźniki, listy'!$F$47,IF(L56="olej opałowy",R56*'Założenia,wskaźniki, listy'!$G$47,IF(L56="sieć ciepłownicza",0,IF(L56="prąd",0,0)))))))</f>
        <v>1.8150000000000002E-6</v>
      </c>
      <c r="X56" s="639">
        <f>IF(L56="węgiel",R56*'Założenia,wskaźniki, listy'!$C$48, IF(L56="gaz",R56*'Założenia,wskaźniki, listy'!$D$48,IF(L56="drewno",R56*'Założenia,wskaźniki, listy'!$E$48,IF(L56="pelet",R56*'Założenia,wskaźniki, listy'!$F$48,IF(L56="olej opałowy",R56*'Założenia,wskaźniki, listy'!$G$48,IF(L56="sieć ciepłownicza",0,IF(L56="prąd",0,0)))))))</f>
        <v>1.65E-4</v>
      </c>
      <c r="Y56" s="639">
        <f>IF(L56="węgiel",R56*'Założenia,wskaźniki, listy'!$C$49, IF(L56="gaz",R56*'Założenia,wskaźniki, listy'!$D$49, IF(L56="drewno",R56*'Założenia,wskaźniki, listy'!$E$49,IF(L56="pelet",R56*'Założenia,wskaźniki, listy'!$F$49,IF(L56="olej opałowy",R56*'Założenia,wskaźniki, listy'!$G$49,IF(L56="sieć ciepłownicza",0,IF(L56="prąd",0,0)))))))</f>
        <v>1.2000000000000001E-3</v>
      </c>
      <c r="Z56" s="639">
        <f>IF(L56="węgiel",R56*'Założenia,wskaźniki, listy'!$C$50,IF(L56="gaz",R56*'Założenia,wskaźniki, listy'!$D$50, IF(L56="drewno",R56*'Założenia,wskaźniki, listy'!$E$50,IF(L56="pelet",R56*'Założenia,wskaźniki, listy'!$F$50,IF(L56="pelet",R56*'Założenia,wskaźniki, listy'!$F$50,IF(L56="olej opałowy",R56*'Założenia,wskaźniki, listy'!$G$50,IF(L56="sieć ciepłownicza",0,IF(L56="prąd",0,0))))))))</f>
        <v>2.6909999999999998E-3</v>
      </c>
      <c r="AA56" s="639">
        <f>IF(N56="węgiel",Q56*'Założenia,wskaźniki, listy'!$C$44,IF(N56="gaz",Q56*'Założenia,wskaźniki, listy'!$D$44,IF(N56="drewno",Q56*'Założenia,wskaźniki, listy'!$E$44,IF(N56="pelet",Q56*'Założenia,wskaźniki, listy'!$G$44,IF(N56="olej opałowy",Q56*'Założenia,wskaźniki, listy'!$G$44,IF(N56="sieć ciepłownicza",0,IF(N56="prąd",0,0)))))))</f>
        <v>0</v>
      </c>
      <c r="AB56" s="639">
        <f>IF(N56="węgiel",Q56*'Założenia,wskaźniki, listy'!$C$45,IF(N56="gaz",Q56*'Założenia,wskaźniki, listy'!$D$45,IF(N56="drewno",Q56*'Założenia,wskaźniki, listy'!$E$45,IF(N56="pelet",Q56*'Założenia,wskaźniki, listy'!$G$45,IF(N56="olej opałowy",Q56*'Założenia,wskaźniki, listy'!$G$45,IF(N56="sieć ciepłownicza",0,IF(N56="prąd",0,0)))))))</f>
        <v>0</v>
      </c>
      <c r="AC56" s="639">
        <f>IF(N56="węgiel",Q56*'Założenia,wskaźniki, listy'!$C$46,IF(N56="gaz",Q56*'Założenia,wskaźniki, listy'!$D$46,IF(N56="drewno",Q56*'Założenia,wskaźniki, listy'!$E$46,IF(N56="pelet",Q56*'Założenia,wskaźniki, listy'!$G$46,IF(N56="olej opałowy",Q56*'Założenia,wskaźniki, listy'!$G$46,IF(N56="sieć ciepłownicza",0,IF(N56="prąd",0,0)))))))</f>
        <v>0</v>
      </c>
      <c r="AD56" s="639">
        <f>IF(N56="węgiel",Q56*'Założenia,wskaźniki, listy'!$C$47,IF(N56="gaz",Q56*'Założenia,wskaźniki, listy'!$D$47,IF(N56="drewno",Q56*'Założenia,wskaźniki, listy'!$E$47,IF(N56="pelet",Q56*'Założenia,wskaźniki, listy'!$G$47,IF(N56="olej opałowy",Q56*'Założenia,wskaźniki, listy'!$G$47,IF(N56="sieć ciepłownicza",0,IF(N56="prąd",0,0)))))))</f>
        <v>0</v>
      </c>
      <c r="AE56" s="639">
        <f>IF(N56="węgiel",Q56*'Założenia,wskaźniki, listy'!$C$48,IF(N56="gaz",Q56*'Założenia,wskaźniki, listy'!$D$48,IF(N56="drewno",Q56*'Założenia,wskaźniki, listy'!$E$48,IF(N56="pelet",Q56*'Założenia,wskaźniki, listy'!$G$48,IF(N56="olej opałowy",Q56*'Założenia,wskaźniki, listy'!$G$48,IF(N56="sieć ciepłownicza",0,IF(N56="prąd",0,0)))))))</f>
        <v>0</v>
      </c>
      <c r="AF56" s="639">
        <f>IF(N56="węgiel",Q56*'Założenia,wskaźniki, listy'!$C$49,IF(N56="gaz",Q56*'Założenia,wskaźniki, listy'!$D$49,IF(N56="drewno",Q56*'Założenia,wskaźniki, listy'!$E$49,IF(N56="pelet",Q56*'Założenia,wskaźniki, listy'!$G$49,IF(N56="olej opałowy",Q56*'Założenia,wskaźniki, listy'!$G$49,IF(N56="sieć ciepłownicza",0,IF(N56="prąd",0,0)))))))</f>
        <v>0</v>
      </c>
      <c r="AG56" s="639">
        <f>IF(N56="węgiel",Q56*'Założenia,wskaźniki, listy'!$C$50,IF(N56="gaz",Q56*'Założenia,wskaźniki, listy'!$D$50,IF(N56="drewno",Q56*'Założenia,wskaźniki, listy'!$E$50,IF(N56="pelet",Q56*'Założenia,wskaźniki, listy'!$G$50,IF(N56="olej opałowy",Q56*'Założenia,wskaźniki, listy'!$G$50,IF(N56="sieć ciepłownicza",0,IF(N56="prąd",0,0)))))))</f>
        <v>0</v>
      </c>
      <c r="AH56" s="640">
        <f>IF(L56="węgiel",(P56+R56)/2*'Założenia,wskaźniki, listy'!$C$4,IF(L56="gaz",(P56+R56)/2*'Założenia,wskaźniki, listy'!$C$5,IF(L56="drewno",(P56+R56)/2*'Założenia,wskaźniki, listy'!$C$6,IF(L56="pelet",(P56+R56)/2*'Założenia,wskaźniki, listy'!$C$7,IF(L56="olej opałowy",(P56+R56)/2*'Założenia,wskaźniki, listy'!$C$8,IF(L56="sieć ciepłownicza",(P56+R56)/2*'Założenia,wskaźniki, listy'!$C$9,IF(L56="sieć ciepłownicza",(P56+R56)/2*'Założenia,wskaźniki, listy'!$C$10,)))))))</f>
        <v>285</v>
      </c>
      <c r="AI56" s="640">
        <f>IF(N56="węgiel",Q56*'Założenia,wskaźniki, listy'!$C$4,IF(N56="gaz",Q56*'Założenia,wskaźniki, listy'!$C$5,IF(N56="drewno",Q56*'Założenia,wskaźniki, listy'!$C$6,IF(N56="pelet",Q56*'Założenia,wskaźniki, listy'!$C$7,IF(N56="olej opałowy",Q56*'Założenia,wskaźniki, listy'!$C$8,IF(N56="sieć ciepłownicza",Q56*'Założenia,wskaźniki, listy'!$C$9,IF(N56="sieć ciepłownicza",Q56*'Założenia,wskaźniki, listy'!$C$10,0)))))))</f>
        <v>0</v>
      </c>
      <c r="AJ56" s="640">
        <f>S56*'Założenia,wskaźniki, listy'!$B$64*1000</f>
        <v>0</v>
      </c>
      <c r="AK56" s="640">
        <f>(H56+I56)*'Założenia,wskaźniki, listy'!$D$64*12</f>
        <v>0</v>
      </c>
      <c r="AL56" s="640">
        <f>AK56*'Założenia,wskaźniki, listy'!$F$64</f>
        <v>0</v>
      </c>
      <c r="AM56" s="639">
        <f t="shared" ref="AM56" si="122">T56+AA56</f>
        <v>7.1999999999999998E-3</v>
      </c>
      <c r="AN56" s="639">
        <f t="shared" ref="AN56" si="123">U56+AB56</f>
        <v>7.0499999999999998E-3</v>
      </c>
      <c r="AO56" s="639">
        <f>V56+AC56+S56*'Założenia,wskaźniki, listy'!$J$46</f>
        <v>0</v>
      </c>
      <c r="AP56" s="639">
        <f t="shared" ref="AP56" si="124">W56+AD56</f>
        <v>1.8150000000000002E-6</v>
      </c>
      <c r="AQ56" s="639">
        <f t="shared" ref="AQ56" si="125">X56+AE56</f>
        <v>1.65E-4</v>
      </c>
      <c r="AR56" s="639">
        <f t="shared" ref="AR56" si="126">Y56+AF56</f>
        <v>1.2000000000000001E-3</v>
      </c>
      <c r="AS56" s="639">
        <f t="shared" ref="AS56" si="127">Z56+AG56</f>
        <v>2.6909999999999998E-3</v>
      </c>
      <c r="AT56" s="647"/>
      <c r="AU56" s="647"/>
      <c r="AV56" s="624">
        <f t="shared" si="1"/>
        <v>0</v>
      </c>
      <c r="AW56" s="624" t="b">
        <f t="shared" si="2"/>
        <v>0</v>
      </c>
      <c r="AX56" s="624" t="b">
        <f t="shared" si="3"/>
        <v>0</v>
      </c>
      <c r="AY56" s="624" t="b">
        <f t="shared" si="4"/>
        <v>0</v>
      </c>
      <c r="AZ56" s="624" t="b">
        <f t="shared" si="5"/>
        <v>0</v>
      </c>
      <c r="BA56" s="624" t="b">
        <f t="shared" si="6"/>
        <v>0</v>
      </c>
      <c r="BB56" s="624" t="b">
        <f t="shared" si="7"/>
        <v>0</v>
      </c>
      <c r="BC56" s="624" t="b">
        <f t="shared" si="8"/>
        <v>0</v>
      </c>
      <c r="BD56" s="624" t="b">
        <f t="shared" si="9"/>
        <v>0</v>
      </c>
      <c r="BE56" s="624" t="b">
        <f t="shared" si="10"/>
        <v>0</v>
      </c>
      <c r="BF56" s="624" t="b">
        <f t="shared" si="11"/>
        <v>0</v>
      </c>
      <c r="BG56" s="624" t="b">
        <f t="shared" si="12"/>
        <v>0</v>
      </c>
      <c r="BH56" s="624">
        <f t="shared" si="13"/>
        <v>15</v>
      </c>
      <c r="BI56" s="624" t="b">
        <f t="shared" si="14"/>
        <v>0</v>
      </c>
      <c r="BJ56" s="624" t="b">
        <f t="shared" si="15"/>
        <v>0</v>
      </c>
      <c r="BK56" s="624" t="b">
        <f t="shared" si="16"/>
        <v>0</v>
      </c>
      <c r="BL56" s="624" t="b">
        <f t="shared" si="17"/>
        <v>0</v>
      </c>
      <c r="BM56" s="624" t="b">
        <f t="shared" si="18"/>
        <v>0</v>
      </c>
      <c r="BN56" s="624" t="b">
        <f t="shared" si="19"/>
        <v>0</v>
      </c>
      <c r="BO56" s="624" t="b">
        <f t="shared" si="20"/>
        <v>0</v>
      </c>
      <c r="BP56" s="624" t="b">
        <f t="shared" si="21"/>
        <v>0</v>
      </c>
      <c r="BQ56" s="624" t="b">
        <f t="shared" si="22"/>
        <v>0</v>
      </c>
    </row>
    <row r="57" spans="1:69">
      <c r="A57" s="1086">
        <v>27</v>
      </c>
      <c r="B57" s="872" t="s">
        <v>21</v>
      </c>
      <c r="C57" s="873" t="s">
        <v>621</v>
      </c>
      <c r="D57" s="645" t="s">
        <v>628</v>
      </c>
      <c r="E57" s="645">
        <v>40</v>
      </c>
      <c r="F57" s="644">
        <v>1928</v>
      </c>
      <c r="G57" s="635">
        <v>40</v>
      </c>
      <c r="H57" s="644"/>
      <c r="I57" s="635"/>
      <c r="J57" s="644">
        <f>IF(F57&lt;=1966,'Założenia,wskaźniki, listy'!$H$4,IF(F57&gt;1966,IF(F57&lt;=1985,'Założenia,wskaźniki, listy'!$H$5,IF(F57&gt;1985,IF(F57&lt;=1992,'Założenia,wskaźniki, listy'!$H$6,IF(F57&gt;1992,IF(F57&lt;=1996,'Założenia,wskaźniki, listy'!$H$7,IF(F57&gt;1996,IF(F57&lt;=2015,'Założenia,wskaźniki, listy'!$H$8)))))))))</f>
        <v>290</v>
      </c>
      <c r="K57" s="864" t="s">
        <v>31</v>
      </c>
      <c r="L57" s="872" t="s">
        <v>8</v>
      </c>
      <c r="M57" s="872">
        <v>1</v>
      </c>
      <c r="N57" s="644"/>
      <c r="O57" s="637">
        <f t="shared" si="23"/>
        <v>32.185000000000002</v>
      </c>
      <c r="P57" s="646">
        <f>IF(K57="kompletna",J57*G57*0.0036*'Założenia,wskaźniki, listy'!$P$9,IF(K57="częściowa",J57*G57*0.0036*'Założenia,wskaźniki, listy'!$P$10,IF(K57="brak",J57*G57*0.0036*'Założenia,wskaźniki, listy'!$P$11,0)))</f>
        <v>41.76</v>
      </c>
      <c r="Q57" s="638">
        <f>H57*'Założenia,wskaźniki, listy'!$L$15</f>
        <v>0</v>
      </c>
      <c r="R57" s="635">
        <f>IF(L57="węgiel",'Mieszkalne - baza'!M57*'Założenia,wskaźniki, listy'!$B$4,IF(L57="gaz",'Mieszkalne - baza'!M57*'Założenia,wskaźniki, listy'!$B$5,IF(L57="drewno",'Mieszkalne - baza'!M57*'Założenia,wskaźniki, listy'!$B$6,IF(L57="pelet",'Mieszkalne - baza'!M57*'Założenia,wskaźniki, listy'!$B$7,IF(L57="olej opałowy",'Mieszkalne - baza'!M57*'Założenia,wskaźniki, listy'!$B$8,IF(L57="sieć ciepłownicza",0,0))))))</f>
        <v>22.61</v>
      </c>
      <c r="S57" s="1084">
        <v>2.1431999999999998</v>
      </c>
      <c r="T57" s="639">
        <f>IF(L57="węgiel",R57*'Założenia,wskaźniki, listy'!$C$44,IF(L57="gaz",R57*'Założenia,wskaźniki, listy'!$D$44,IF(L57="drewno",R57*'Założenia,wskaźniki, listy'!$E$44,IF(L57="pelet",R57*'Założenia,wskaźniki, listy'!$F$44,IF(L57="olej opałowy",R57*'Założenia,wskaźniki, listy'!$G$44,IF(L57="sieć ciepłownicza",0,IF(L57="prąd",0,0)))))))</f>
        <v>5.0872499999999998E-3</v>
      </c>
      <c r="U57" s="639">
        <f>IF(L57="węgiel",R57*'Założenia,wskaźniki, listy'!$C$45,IF(L57="gaz",R57*'Założenia,wskaźniki, listy'!$D$45,IF(L57="drewno",R57*'Założenia,wskaźniki, listy'!$E$45,IF(L57="pelet",R57*'Założenia,wskaźniki, listy'!$F$45,IF(L57="olej opałowy",R57*'Założenia,wskaźniki, listy'!$G$45,IF(L57="sieć ciepłownicza",0,IF(L57="prąd",0,0)))))))</f>
        <v>4.5446100000000001E-3</v>
      </c>
      <c r="V57" s="639">
        <f>IF(L57="węgiel",R57*'Założenia,wskaźniki, listy'!$C$46,IF(L57="gaz",R57*'Założenia,wskaźniki, listy'!$D$46,IF(L57="drewno",R57*'Założenia,wskaźniki, listy'!$E$46,IF(L57="pelet",R57*'Założenia,wskaźniki, listy'!$F$46,IF(L57="olej opałowy",R57*'Założenia,wskaźniki, listy'!$G$46,IF(L57="sieć ciepłownicza",R57*'Założenia,wskaźniki, listy'!$H$46,IF(L57="prąd",R57*'Założenia,wskaźniki, listy'!$I$46,0)))))))</f>
        <v>2.1194613999999996</v>
      </c>
      <c r="W57" s="639">
        <f>IF(L57="węgiel",R57*'Założenia,wskaźniki, listy'!$C$47,IF(L57="gaz",R57*'Założenia,wskaźniki, listy'!$D$47,IF(L57="drewno",R57*'Założenia,wskaźniki, listy'!$E$47,IF(L57="pelet",R57*'Założenia,wskaźniki, listy'!$F$47,IF(L57="olej opałowy",R57*'Założenia,wskaźniki, listy'!$G$47,IF(L57="sieć ciepłownicza",0,IF(L57="prąd",0,0)))))))</f>
        <v>6.1047000000000002E-6</v>
      </c>
      <c r="X57" s="639">
        <f>IF(L57="węgiel",R57*'Założenia,wskaźniki, listy'!$C$48, IF(L57="gaz",R57*'Założenia,wskaźniki, listy'!$D$48,IF(L57="drewno",R57*'Założenia,wskaźniki, listy'!$E$48,IF(L57="pelet",R57*'Założenia,wskaźniki, listy'!$F$48,IF(L57="olej opałowy",R57*'Założenia,wskaźniki, listy'!$G$48,IF(L57="sieć ciepłownicza",0,IF(L57="prąd",0,0)))))))</f>
        <v>2.0348999999999999E-2</v>
      </c>
      <c r="Y57" s="639">
        <f>IF(L57="węgiel",R57*'Założenia,wskaźniki, listy'!$C$49, IF(L57="gaz",R57*'Założenia,wskaźniki, listy'!$D$49, IF(L57="drewno",R57*'Założenia,wskaźniki, listy'!$E$49,IF(L57="pelet",R57*'Założenia,wskaźniki, listy'!$F$49,IF(L57="olej opałowy",R57*'Założenia,wskaźniki, listy'!$G$49,IF(L57="sieć ciepłownicza",0,IF(L57="prąd",0,0)))))))</f>
        <v>3.5723799999999996E-3</v>
      </c>
      <c r="Z57" s="639">
        <f>IF(L57="węgiel",R57*'Założenia,wskaźniki, listy'!$C$50,IF(L57="gaz",R57*'Założenia,wskaźniki, listy'!$D$50, IF(L57="drewno",R57*'Założenia,wskaźniki, listy'!$E$50,IF(L57="pelet",R57*'Założenia,wskaźniki, listy'!$F$50,IF(L57="pelet",R57*'Założenia,wskaźniki, listy'!$F$50,IF(L57="olej opałowy",R57*'Założenia,wskaźniki, listy'!$G$50,IF(L57="sieć ciepłownicza",0,IF(L57="prąd",0,0))))))))</f>
        <v>4.5482789450156456E-2</v>
      </c>
      <c r="AA57" s="639">
        <f>IF(N57="węgiel",Q57*'Założenia,wskaźniki, listy'!$C$44,IF(N57="gaz",Q57*'Założenia,wskaźniki, listy'!$D$44,IF(N57="drewno",Q57*'Założenia,wskaźniki, listy'!$E$44,IF(N57="pelet",Q57*'Założenia,wskaźniki, listy'!$G$44,IF(N57="olej opałowy",Q57*'Założenia,wskaźniki, listy'!$G$44,IF(N57="sieć ciepłownicza",0,IF(N57="prąd",0,0)))))))</f>
        <v>0</v>
      </c>
      <c r="AB57" s="639">
        <f>IF(N57="węgiel",Q57*'Założenia,wskaźniki, listy'!$C$45,IF(N57="gaz",Q57*'Założenia,wskaźniki, listy'!$D$45,IF(N57="drewno",Q57*'Założenia,wskaźniki, listy'!$E$45,IF(N57="pelet",Q57*'Założenia,wskaźniki, listy'!$G$45,IF(N57="olej opałowy",Q57*'Założenia,wskaźniki, listy'!$G$45,IF(N57="sieć ciepłownicza",0,IF(N57="prąd",0,0)))))))</f>
        <v>0</v>
      </c>
      <c r="AC57" s="639">
        <f>IF(N57="węgiel",Q57*'Założenia,wskaźniki, listy'!$C$46,IF(N57="gaz",Q57*'Założenia,wskaźniki, listy'!$D$46,IF(N57="drewno",Q57*'Założenia,wskaźniki, listy'!$E$46,IF(N57="pelet",Q57*'Założenia,wskaźniki, listy'!$G$46,IF(N57="olej opałowy",Q57*'Założenia,wskaźniki, listy'!$G$46,IF(N57="sieć ciepłownicza",0,IF(N57="prąd",0,0)))))))</f>
        <v>0</v>
      </c>
      <c r="AD57" s="639">
        <f>IF(N57="węgiel",Q57*'Założenia,wskaźniki, listy'!$C$47,IF(N57="gaz",Q57*'Założenia,wskaźniki, listy'!$D$47,IF(N57="drewno",Q57*'Założenia,wskaźniki, listy'!$E$47,IF(N57="pelet",Q57*'Założenia,wskaźniki, listy'!$G$47,IF(N57="olej opałowy",Q57*'Założenia,wskaźniki, listy'!$G$47,IF(N57="sieć ciepłownicza",0,IF(N57="prąd",0,0)))))))</f>
        <v>0</v>
      </c>
      <c r="AE57" s="639">
        <f>IF(N57="węgiel",Q57*'Założenia,wskaźniki, listy'!$C$48,IF(N57="gaz",Q57*'Założenia,wskaźniki, listy'!$D$48,IF(N57="drewno",Q57*'Założenia,wskaźniki, listy'!$E$48,IF(N57="pelet",Q57*'Założenia,wskaźniki, listy'!$G$48,IF(N57="olej opałowy",Q57*'Założenia,wskaźniki, listy'!$G$48,IF(N57="sieć ciepłownicza",0,IF(N57="prąd",0,0)))))))</f>
        <v>0</v>
      </c>
      <c r="AF57" s="639">
        <f>IF(N57="węgiel",Q57*'Założenia,wskaźniki, listy'!$C$49,IF(N57="gaz",Q57*'Założenia,wskaźniki, listy'!$D$49,IF(N57="drewno",Q57*'Założenia,wskaźniki, listy'!$E$49,IF(N57="pelet",Q57*'Założenia,wskaźniki, listy'!$G$49,IF(N57="olej opałowy",Q57*'Założenia,wskaźniki, listy'!$G$49,IF(N57="sieć ciepłownicza",0,IF(N57="prąd",0,0)))))))</f>
        <v>0</v>
      </c>
      <c r="AG57" s="639">
        <f>IF(N57="węgiel",Q57*'Założenia,wskaźniki, listy'!$C$50,IF(N57="gaz",Q57*'Założenia,wskaźniki, listy'!$D$50,IF(N57="drewno",Q57*'Założenia,wskaźniki, listy'!$E$50,IF(N57="pelet",Q57*'Założenia,wskaźniki, listy'!$G$50,IF(N57="olej opałowy",Q57*'Założenia,wskaźniki, listy'!$G$50,IF(N57="sieć ciepłownicza",0,IF(N57="prąd",0,0)))))))</f>
        <v>0</v>
      </c>
      <c r="AH57" s="640">
        <f>IF(L57="węgiel",(P57+R57)/2*'Założenia,wskaźniki, listy'!$C$4,IF(L57="gaz",(P57+R57)/2*'Założenia,wskaźniki, listy'!$C$5,IF(L57="drewno",(P57+R57)/2*'Założenia,wskaźniki, listy'!$C$6,IF(L57="pelet",(P57+R57)/2*'Założenia,wskaźniki, listy'!$C$7,IF(L57="olej opałowy",(P57+R57)/2*'Założenia,wskaźniki, listy'!$C$8,IF(L57="sieć ciepłownicza",(P57+R57)/2*'Założenia,wskaźniki, listy'!$C$9,IF(L57="sieć ciepłownicza",(P57+R57)/2*'Założenia,wskaźniki, listy'!$C$10,)))))))</f>
        <v>1319.585</v>
      </c>
      <c r="AI57" s="640">
        <f>IF(N57="węgiel",Q57*'Założenia,wskaźniki, listy'!$C$4,IF(N57="gaz",Q57*'Założenia,wskaźniki, listy'!$C$5,IF(N57="drewno",Q57*'Założenia,wskaźniki, listy'!$C$6,IF(N57="pelet",Q57*'Założenia,wskaźniki, listy'!$C$7,IF(N57="olej opałowy",Q57*'Założenia,wskaźniki, listy'!$C$8,IF(N57="sieć ciepłownicza",Q57*'Założenia,wskaźniki, listy'!$C$9,IF(N57="sieć ciepłownicza",Q57*'Założenia,wskaźniki, listy'!$C$10,0)))))))</f>
        <v>0</v>
      </c>
      <c r="AJ57" s="640">
        <f>S57*'Założenia,wskaźniki, listy'!$B$64*1000</f>
        <v>1521.6719999999998</v>
      </c>
      <c r="AK57" s="640">
        <f>(H57+I57)*'Założenia,wskaźniki, listy'!$D$64*12</f>
        <v>0</v>
      </c>
      <c r="AL57" s="640">
        <f>AK57*'Założenia,wskaźniki, listy'!$F$64</f>
        <v>0</v>
      </c>
      <c r="AM57" s="639">
        <f t="shared" si="95"/>
        <v>5.0872499999999998E-3</v>
      </c>
      <c r="AN57" s="639">
        <f t="shared" si="96"/>
        <v>4.5446100000000001E-3</v>
      </c>
      <c r="AO57" s="639">
        <f>V57+AC57+S57*'Założenia,wskaźniki, listy'!$J$46</f>
        <v>3.9015321999999992</v>
      </c>
      <c r="AP57" s="639">
        <f t="shared" si="97"/>
        <v>6.1047000000000002E-6</v>
      </c>
      <c r="AQ57" s="639">
        <f t="shared" si="98"/>
        <v>2.0348999999999999E-2</v>
      </c>
      <c r="AR57" s="639">
        <f t="shared" si="99"/>
        <v>3.5723799999999996E-3</v>
      </c>
      <c r="AS57" s="639">
        <f t="shared" si="100"/>
        <v>4.5482789450156456E-2</v>
      </c>
      <c r="AT57" s="647"/>
      <c r="AU57" s="647"/>
      <c r="AV57" s="624">
        <f t="shared" si="1"/>
        <v>40</v>
      </c>
      <c r="AW57" s="624" t="b">
        <f t="shared" si="2"/>
        <v>0</v>
      </c>
      <c r="AX57" s="624" t="b">
        <f t="shared" si="3"/>
        <v>0</v>
      </c>
      <c r="AY57" s="624" t="b">
        <f t="shared" si="4"/>
        <v>0</v>
      </c>
      <c r="AZ57" s="624" t="b">
        <f t="shared" si="5"/>
        <v>0</v>
      </c>
      <c r="BA57" s="624" t="b">
        <f t="shared" si="6"/>
        <v>0</v>
      </c>
      <c r="BB57" s="624" t="b">
        <f t="shared" si="7"/>
        <v>0</v>
      </c>
      <c r="BC57" s="624" t="b">
        <f t="shared" si="8"/>
        <v>0</v>
      </c>
      <c r="BD57" s="624" t="b">
        <f t="shared" si="9"/>
        <v>0</v>
      </c>
      <c r="BE57" s="624" t="b">
        <f t="shared" si="10"/>
        <v>0</v>
      </c>
      <c r="BF57" s="624">
        <f t="shared" si="11"/>
        <v>22.61</v>
      </c>
      <c r="BG57" s="624" t="b">
        <f t="shared" si="12"/>
        <v>0</v>
      </c>
      <c r="BH57" s="624" t="b">
        <f t="shared" si="13"/>
        <v>0</v>
      </c>
      <c r="BI57" s="624" t="b">
        <f t="shared" si="14"/>
        <v>0</v>
      </c>
      <c r="BJ57" s="624" t="b">
        <f t="shared" si="15"/>
        <v>0</v>
      </c>
      <c r="BK57" s="624" t="b">
        <f t="shared" si="16"/>
        <v>0</v>
      </c>
      <c r="BL57" s="624" t="b">
        <f t="shared" si="17"/>
        <v>0</v>
      </c>
      <c r="BM57" s="624" t="b">
        <f t="shared" si="18"/>
        <v>0</v>
      </c>
      <c r="BN57" s="624" t="b">
        <f t="shared" si="19"/>
        <v>0</v>
      </c>
      <c r="BO57" s="624" t="b">
        <f t="shared" si="20"/>
        <v>0</v>
      </c>
      <c r="BP57" s="624" t="b">
        <f t="shared" si="21"/>
        <v>0</v>
      </c>
      <c r="BQ57" s="624" t="b">
        <f t="shared" si="22"/>
        <v>0</v>
      </c>
    </row>
    <row r="58" spans="1:69">
      <c r="A58" s="1087"/>
      <c r="B58" s="872"/>
      <c r="C58" s="872"/>
      <c r="D58" s="645"/>
      <c r="E58" s="645"/>
      <c r="F58" s="644"/>
      <c r="G58" s="644"/>
      <c r="H58" s="644"/>
      <c r="I58" s="635"/>
      <c r="J58" s="644">
        <f>IF(F58&lt;=1966,'Założenia,wskaźniki, listy'!$H$4,IF(F58&gt;1966,IF(F58&lt;=1985,'Założenia,wskaźniki, listy'!$H$5,IF(F58&gt;1985,IF(F58&lt;=1992,'Założenia,wskaźniki, listy'!$H$6,IF(F58&gt;1992,IF(F58&lt;=1996,'Założenia,wskaźniki, listy'!$H$7,IF(F58&gt;1996,IF(F58&lt;=2015,'Założenia,wskaźniki, listy'!$H$8)))))))))</f>
        <v>290</v>
      </c>
      <c r="K58" s="864"/>
      <c r="L58" s="872" t="s">
        <v>79</v>
      </c>
      <c r="M58" s="872">
        <v>1.5</v>
      </c>
      <c r="N58" s="644"/>
      <c r="O58" s="637">
        <f t="shared" si="23"/>
        <v>22.5</v>
      </c>
      <c r="P58" s="646">
        <f>IF(K58="kompletna",J58*G58*0.0036*'Założenia,wskaźniki, listy'!$P$9,IF(K58="częściowa",J58*G58*0.0036*'Założenia,wskaźniki, listy'!$P$10,IF(K58="brak",J58*G58*0.0036*'Założenia,wskaźniki, listy'!$P$11,0)))</f>
        <v>0</v>
      </c>
      <c r="Q58" s="638">
        <f>H58*'Założenia,wskaźniki, listy'!$L$15</f>
        <v>0</v>
      </c>
      <c r="R58" s="635">
        <f>IF(L58="węgiel",'Mieszkalne - baza'!M58*'Założenia,wskaźniki, listy'!$B$4,IF(L58="gaz",'Mieszkalne - baza'!M58*'Założenia,wskaźniki, listy'!$B$5,IF(L58="drewno",'Mieszkalne - baza'!M58*'Założenia,wskaźniki, listy'!$B$6,IF(L58="pelet",'Mieszkalne - baza'!M58*'Założenia,wskaźniki, listy'!$B$7,IF(L58="olej opałowy",'Mieszkalne - baza'!M58*'Założenia,wskaźniki, listy'!$B$8,IF(L58="sieć ciepłownicza",0,0))))))</f>
        <v>22.5</v>
      </c>
      <c r="S58" s="1085"/>
      <c r="T58" s="639">
        <f>IF(L58="węgiel",R58*'Założenia,wskaźniki, listy'!$C$44,IF(L58="gaz",R58*'Założenia,wskaźniki, listy'!$D$44,IF(L58="drewno",R58*'Założenia,wskaźniki, listy'!$E$44,IF(L58="pelet",R58*'Założenia,wskaźniki, listy'!$F$44,IF(L58="olej opałowy",R58*'Założenia,wskaźniki, listy'!$G$44,IF(L58="sieć ciepłownicza",0,IF(L58="prąd",0,0)))))))</f>
        <v>1.0800000000000001E-2</v>
      </c>
      <c r="U58" s="639">
        <f>IF(L58="węgiel",R58*'Założenia,wskaźniki, listy'!$C$45,IF(L58="gaz",R58*'Założenia,wskaźniki, listy'!$D$45,IF(L58="drewno",R58*'Założenia,wskaźniki, listy'!$E$45,IF(L58="pelet",R58*'Założenia,wskaźniki, listy'!$F$45,IF(L58="olej opałowy",R58*'Założenia,wskaźniki, listy'!$G$45,IF(L58="sieć ciepłownicza",0,IF(L58="prąd",0,0)))))))</f>
        <v>1.0574999999999999E-2</v>
      </c>
      <c r="V58" s="639">
        <f>IF(L58="węgiel",R58*'Założenia,wskaźniki, listy'!$C$46,IF(L58="gaz",R58*'Założenia,wskaźniki, listy'!$D$46,IF(L58="drewno",R58*'Założenia,wskaźniki, listy'!$E$46,IF(L58="pelet",R58*'Założenia,wskaźniki, listy'!$F$46,IF(L58="olej opałowy",R58*'Założenia,wskaźniki, listy'!$G$46,IF(L58="sieć ciepłownicza",R58*'Założenia,wskaźniki, listy'!$H$46,IF(L58="prąd",R58*'Założenia,wskaźniki, listy'!$I$46,0)))))))</f>
        <v>0</v>
      </c>
      <c r="W58" s="639">
        <f>IF(L58="węgiel",R58*'Założenia,wskaźniki, listy'!$C$47,IF(L58="gaz",R58*'Założenia,wskaźniki, listy'!$D$47,IF(L58="drewno",R58*'Założenia,wskaźniki, listy'!$E$47,IF(L58="pelet",R58*'Założenia,wskaźniki, listy'!$F$47,IF(L58="olej opałowy",R58*'Założenia,wskaźniki, listy'!$G$47,IF(L58="sieć ciepłownicza",0,IF(L58="prąd",0,0)))))))</f>
        <v>2.7225000000000002E-6</v>
      </c>
      <c r="X58" s="639">
        <f>IF(L58="węgiel",R58*'Założenia,wskaźniki, listy'!$C$48, IF(L58="gaz",R58*'Założenia,wskaźniki, listy'!$D$48,IF(L58="drewno",R58*'Założenia,wskaźniki, listy'!$E$48,IF(L58="pelet",R58*'Założenia,wskaźniki, listy'!$F$48,IF(L58="olej opałowy",R58*'Założenia,wskaźniki, listy'!$G$48,IF(L58="sieć ciepłownicza",0,IF(L58="prąd",0,0)))))))</f>
        <v>2.475E-4</v>
      </c>
      <c r="Y58" s="639">
        <f>IF(L58="węgiel",R58*'Założenia,wskaźniki, listy'!$C$49, IF(L58="gaz",R58*'Założenia,wskaźniki, listy'!$D$49, IF(L58="drewno",R58*'Założenia,wskaźniki, listy'!$E$49,IF(L58="pelet",R58*'Założenia,wskaźniki, listy'!$F$49,IF(L58="olej opałowy",R58*'Założenia,wskaźniki, listy'!$G$49,IF(L58="sieć ciepłownicza",0,IF(L58="prąd",0,0)))))))</f>
        <v>1.8000000000000002E-3</v>
      </c>
      <c r="Z58" s="639">
        <f>IF(L58="węgiel",R58*'Założenia,wskaźniki, listy'!$C$50,IF(L58="gaz",R58*'Założenia,wskaźniki, listy'!$D$50, IF(L58="drewno",R58*'Założenia,wskaźniki, listy'!$E$50,IF(L58="pelet",R58*'Założenia,wskaźniki, listy'!$F$50,IF(L58="pelet",R58*'Założenia,wskaźniki, listy'!$F$50,IF(L58="olej opałowy",R58*'Założenia,wskaźniki, listy'!$G$50,IF(L58="sieć ciepłownicza",0,IF(L58="prąd",0,0))))))))</f>
        <v>4.0365000000000002E-3</v>
      </c>
      <c r="AA58" s="639">
        <f>IF(N58="węgiel",Q58*'Założenia,wskaźniki, listy'!$C$44,IF(N58="gaz",Q58*'Założenia,wskaźniki, listy'!$D$44,IF(N58="drewno",Q58*'Założenia,wskaźniki, listy'!$E$44,IF(N58="pelet",Q58*'Założenia,wskaźniki, listy'!$G$44,IF(N58="olej opałowy",Q58*'Założenia,wskaźniki, listy'!$G$44,IF(N58="sieć ciepłownicza",0,IF(N58="prąd",0,0)))))))</f>
        <v>0</v>
      </c>
      <c r="AB58" s="639">
        <f>IF(N58="węgiel",Q58*'Założenia,wskaźniki, listy'!$C$45,IF(N58="gaz",Q58*'Założenia,wskaźniki, listy'!$D$45,IF(N58="drewno",Q58*'Założenia,wskaźniki, listy'!$E$45,IF(N58="pelet",Q58*'Założenia,wskaźniki, listy'!$G$45,IF(N58="olej opałowy",Q58*'Założenia,wskaźniki, listy'!$G$45,IF(N58="sieć ciepłownicza",0,IF(N58="prąd",0,0)))))))</f>
        <v>0</v>
      </c>
      <c r="AC58" s="639">
        <f>IF(N58="węgiel",Q58*'Założenia,wskaźniki, listy'!$C$46,IF(N58="gaz",Q58*'Założenia,wskaźniki, listy'!$D$46,IF(N58="drewno",Q58*'Założenia,wskaźniki, listy'!$E$46,IF(N58="pelet",Q58*'Założenia,wskaźniki, listy'!$G$46,IF(N58="olej opałowy",Q58*'Założenia,wskaźniki, listy'!$G$46,IF(N58="sieć ciepłownicza",0,IF(N58="prąd",0,0)))))))</f>
        <v>0</v>
      </c>
      <c r="AD58" s="639">
        <f>IF(N58="węgiel",Q58*'Założenia,wskaźniki, listy'!$C$47,IF(N58="gaz",Q58*'Założenia,wskaźniki, listy'!$D$47,IF(N58="drewno",Q58*'Założenia,wskaźniki, listy'!$E$47,IF(N58="pelet",Q58*'Założenia,wskaźniki, listy'!$G$47,IF(N58="olej opałowy",Q58*'Założenia,wskaźniki, listy'!$G$47,IF(N58="sieć ciepłownicza",0,IF(N58="prąd",0,0)))))))</f>
        <v>0</v>
      </c>
      <c r="AE58" s="639">
        <f>IF(N58="węgiel",Q58*'Założenia,wskaźniki, listy'!$C$48,IF(N58="gaz",Q58*'Założenia,wskaźniki, listy'!$D$48,IF(N58="drewno",Q58*'Założenia,wskaźniki, listy'!$E$48,IF(N58="pelet",Q58*'Założenia,wskaźniki, listy'!$G$48,IF(N58="olej opałowy",Q58*'Założenia,wskaźniki, listy'!$G$48,IF(N58="sieć ciepłownicza",0,IF(N58="prąd",0,0)))))))</f>
        <v>0</v>
      </c>
      <c r="AF58" s="639">
        <f>IF(N58="węgiel",Q58*'Założenia,wskaźniki, listy'!$C$49,IF(N58="gaz",Q58*'Założenia,wskaźniki, listy'!$D$49,IF(N58="drewno",Q58*'Założenia,wskaźniki, listy'!$E$49,IF(N58="pelet",Q58*'Założenia,wskaźniki, listy'!$G$49,IF(N58="olej opałowy",Q58*'Założenia,wskaźniki, listy'!$G$49,IF(N58="sieć ciepłownicza",0,IF(N58="prąd",0,0)))))))</f>
        <v>0</v>
      </c>
      <c r="AG58" s="639">
        <f>IF(N58="węgiel",Q58*'Założenia,wskaźniki, listy'!$C$50,IF(N58="gaz",Q58*'Założenia,wskaźniki, listy'!$D$50,IF(N58="drewno",Q58*'Założenia,wskaźniki, listy'!$E$50,IF(N58="pelet",Q58*'Założenia,wskaźniki, listy'!$G$50,IF(N58="olej opałowy",Q58*'Założenia,wskaźniki, listy'!$G$50,IF(N58="sieć ciepłownicza",0,IF(N58="prąd",0,0)))))))</f>
        <v>0</v>
      </c>
      <c r="AH58" s="640">
        <f>IF(L58="węgiel",(P58+R58)/2*'Założenia,wskaźniki, listy'!$C$4,IF(L58="gaz",(P58+R58)/2*'Założenia,wskaźniki, listy'!$C$5,IF(L58="drewno",(P58+R58)/2*'Założenia,wskaźniki, listy'!$C$6,IF(L58="pelet",(P58+R58)/2*'Założenia,wskaźniki, listy'!$C$7,IF(L58="olej opałowy",(P58+R58)/2*'Założenia,wskaźniki, listy'!$C$8,IF(L58="sieć ciepłownicza",(P58+R58)/2*'Założenia,wskaźniki, listy'!$C$9,IF(L58="sieć ciepłownicza",(P58+R58)/2*'Założenia,wskaźniki, listy'!$C$10,)))))))</f>
        <v>427.5</v>
      </c>
      <c r="AI58" s="640">
        <f>IF(N58="węgiel",Q58*'Założenia,wskaźniki, listy'!$C$4,IF(N58="gaz",Q58*'Założenia,wskaźniki, listy'!$C$5,IF(N58="drewno",Q58*'Założenia,wskaźniki, listy'!$C$6,IF(N58="pelet",Q58*'Założenia,wskaźniki, listy'!$C$7,IF(N58="olej opałowy",Q58*'Założenia,wskaźniki, listy'!$C$8,IF(N58="sieć ciepłownicza",Q58*'Założenia,wskaźniki, listy'!$C$9,IF(N58="sieć ciepłownicza",Q58*'Założenia,wskaźniki, listy'!$C$10,0)))))))</f>
        <v>0</v>
      </c>
      <c r="AJ58" s="640">
        <f>S58*'Założenia,wskaźniki, listy'!$B$64*1000</f>
        <v>0</v>
      </c>
      <c r="AK58" s="640">
        <f>(H58+I58)*'Założenia,wskaźniki, listy'!$D$64*12</f>
        <v>0</v>
      </c>
      <c r="AL58" s="640">
        <f>AK58*'Założenia,wskaźniki, listy'!$F$64</f>
        <v>0</v>
      </c>
      <c r="AM58" s="639">
        <f t="shared" si="95"/>
        <v>1.0800000000000001E-2</v>
      </c>
      <c r="AN58" s="639">
        <f t="shared" si="96"/>
        <v>1.0574999999999999E-2</v>
      </c>
      <c r="AO58" s="639">
        <f>V58+AC58+S58*'Założenia,wskaźniki, listy'!$J$46</f>
        <v>0</v>
      </c>
      <c r="AP58" s="639">
        <f t="shared" si="97"/>
        <v>2.7225000000000002E-6</v>
      </c>
      <c r="AQ58" s="639">
        <f t="shared" si="98"/>
        <v>2.475E-4</v>
      </c>
      <c r="AR58" s="639">
        <f t="shared" si="99"/>
        <v>1.8000000000000002E-3</v>
      </c>
      <c r="AS58" s="639">
        <f t="shared" si="100"/>
        <v>4.0365000000000002E-3</v>
      </c>
      <c r="AT58" s="647"/>
      <c r="AU58" s="647"/>
      <c r="AV58" s="624">
        <f t="shared" si="1"/>
        <v>0</v>
      </c>
      <c r="AW58" s="624" t="b">
        <f t="shared" si="2"/>
        <v>0</v>
      </c>
      <c r="AX58" s="624" t="b">
        <f t="shared" si="3"/>
        <v>0</v>
      </c>
      <c r="AY58" s="624" t="b">
        <f t="shared" si="4"/>
        <v>0</v>
      </c>
      <c r="AZ58" s="624" t="b">
        <f t="shared" si="5"/>
        <v>0</v>
      </c>
      <c r="BA58" s="624" t="b">
        <f t="shared" si="6"/>
        <v>0</v>
      </c>
      <c r="BB58" s="624" t="b">
        <f t="shared" si="7"/>
        <v>0</v>
      </c>
      <c r="BC58" s="624" t="b">
        <f t="shared" si="8"/>
        <v>0</v>
      </c>
      <c r="BD58" s="624" t="b">
        <f t="shared" si="9"/>
        <v>0</v>
      </c>
      <c r="BE58" s="624" t="b">
        <f t="shared" si="10"/>
        <v>0</v>
      </c>
      <c r="BF58" s="624" t="b">
        <f t="shared" si="11"/>
        <v>0</v>
      </c>
      <c r="BG58" s="624" t="b">
        <f t="shared" si="12"/>
        <v>0</v>
      </c>
      <c r="BH58" s="624">
        <f t="shared" si="13"/>
        <v>22.5</v>
      </c>
      <c r="BI58" s="624" t="b">
        <f t="shared" si="14"/>
        <v>0</v>
      </c>
      <c r="BJ58" s="624" t="b">
        <f t="shared" si="15"/>
        <v>0</v>
      </c>
      <c r="BK58" s="624" t="b">
        <f t="shared" si="16"/>
        <v>0</v>
      </c>
      <c r="BL58" s="624" t="b">
        <f t="shared" si="17"/>
        <v>0</v>
      </c>
      <c r="BM58" s="624" t="b">
        <f t="shared" si="18"/>
        <v>0</v>
      </c>
      <c r="BN58" s="624" t="b">
        <f t="shared" si="19"/>
        <v>0</v>
      </c>
      <c r="BO58" s="624" t="b">
        <f t="shared" si="20"/>
        <v>0</v>
      </c>
      <c r="BP58" s="624" t="b">
        <f t="shared" si="21"/>
        <v>0</v>
      </c>
      <c r="BQ58" s="624" t="b">
        <f t="shared" si="22"/>
        <v>0</v>
      </c>
    </row>
    <row r="59" spans="1:69">
      <c r="A59" s="1086">
        <v>28</v>
      </c>
      <c r="B59" s="872" t="s">
        <v>21</v>
      </c>
      <c r="C59" s="873" t="s">
        <v>621</v>
      </c>
      <c r="D59" s="645" t="s">
        <v>628</v>
      </c>
      <c r="E59" s="645">
        <v>24</v>
      </c>
      <c r="F59" s="644">
        <v>1967</v>
      </c>
      <c r="G59" s="644">
        <v>60</v>
      </c>
      <c r="H59" s="644"/>
      <c r="I59" s="635"/>
      <c r="J59" s="644">
        <f>IF(F59&lt;=1966,'Założenia,wskaźniki, listy'!$H$4,IF(F59&gt;1966,IF(F59&lt;=1985,'Założenia,wskaźniki, listy'!$H$5,IF(F59&gt;1985,IF(F59&lt;=1992,'Założenia,wskaźniki, listy'!$H$6,IF(F59&gt;1992,IF(F59&lt;=1996,'Założenia,wskaźniki, listy'!$H$7,IF(F59&gt;1996,IF(F59&lt;=2015,'Założenia,wskaźniki, listy'!$H$8)))))))))</f>
        <v>250</v>
      </c>
      <c r="K59" s="864" t="s">
        <v>31</v>
      </c>
      <c r="L59" s="644" t="s">
        <v>8</v>
      </c>
      <c r="M59" s="644">
        <v>1</v>
      </c>
      <c r="N59" s="644"/>
      <c r="O59" s="637">
        <f t="shared" si="23"/>
        <v>38.305</v>
      </c>
      <c r="P59" s="646">
        <f>IF(K59="kompletna",J59*G59*0.0036*'Założenia,wskaźniki, listy'!$P$9,IF(K59="częściowa",J59*G59*0.0036*'Założenia,wskaźniki, listy'!$P$10,IF(K59="brak",J59*G59*0.0036*'Założenia,wskaźniki, listy'!$P$11,0)))</f>
        <v>54</v>
      </c>
      <c r="Q59" s="638">
        <f>H59*'Założenia,wskaźniki, listy'!$L$15</f>
        <v>0</v>
      </c>
      <c r="R59" s="635">
        <f>IF(L59="węgiel",'Mieszkalne - baza'!M59*'Założenia,wskaźniki, listy'!$B$4,IF(L59="gaz",'Mieszkalne - baza'!M59*'Założenia,wskaźniki, listy'!$B$5,IF(L59="drewno",'Mieszkalne - baza'!M59*'Założenia,wskaźniki, listy'!$B$6,IF(L59="pelet",'Mieszkalne - baza'!M59*'Założenia,wskaźniki, listy'!$B$7,IF(L59="olej opałowy",'Mieszkalne - baza'!M59*'Założenia,wskaźniki, listy'!$B$8,IF(L59="sieć ciepłownicza",0,0))))))</f>
        <v>22.61</v>
      </c>
      <c r="S59" s="1084">
        <v>1.6355999999999999</v>
      </c>
      <c r="T59" s="639">
        <f>IF(L59="węgiel",R59*'Założenia,wskaźniki, listy'!$C$44,IF(L59="gaz",R59*'Założenia,wskaźniki, listy'!$D$44,IF(L59="drewno",R59*'Założenia,wskaźniki, listy'!$E$44,IF(L59="pelet",R59*'Założenia,wskaźniki, listy'!$F$44,IF(L59="olej opałowy",R59*'Założenia,wskaźniki, listy'!$G$44,IF(L59="sieć ciepłownicza",0,IF(L59="prąd",0,0)))))))</f>
        <v>5.0872499999999998E-3</v>
      </c>
      <c r="U59" s="639">
        <f>IF(L59="węgiel",R59*'Założenia,wskaźniki, listy'!$C$45,IF(L59="gaz",R59*'Założenia,wskaźniki, listy'!$D$45,IF(L59="drewno",R59*'Założenia,wskaźniki, listy'!$E$45,IF(L59="pelet",R59*'Założenia,wskaźniki, listy'!$F$45,IF(L59="olej opałowy",R59*'Założenia,wskaźniki, listy'!$G$45,IF(L59="sieć ciepłownicza",0,IF(L59="prąd",0,0)))))))</f>
        <v>4.5446100000000001E-3</v>
      </c>
      <c r="V59" s="639">
        <f>IF(L59="węgiel",R59*'Założenia,wskaźniki, listy'!$C$46,IF(L59="gaz",R59*'Założenia,wskaźniki, listy'!$D$46,IF(L59="drewno",R59*'Założenia,wskaźniki, listy'!$E$46,IF(L59="pelet",R59*'Założenia,wskaźniki, listy'!$F$46,IF(L59="olej opałowy",R59*'Założenia,wskaźniki, listy'!$G$46,IF(L59="sieć ciepłownicza",R59*'Założenia,wskaźniki, listy'!$H$46,IF(L59="prąd",R59*'Założenia,wskaźniki, listy'!$I$46,0)))))))</f>
        <v>2.1194613999999996</v>
      </c>
      <c r="W59" s="639">
        <f>IF(L59="węgiel",R59*'Założenia,wskaźniki, listy'!$C$47,IF(L59="gaz",R59*'Założenia,wskaźniki, listy'!$D$47,IF(L59="drewno",R59*'Założenia,wskaźniki, listy'!$E$47,IF(L59="pelet",R59*'Założenia,wskaźniki, listy'!$F$47,IF(L59="olej opałowy",R59*'Założenia,wskaźniki, listy'!$G$47,IF(L59="sieć ciepłownicza",0,IF(L59="prąd",0,0)))))))</f>
        <v>6.1047000000000002E-6</v>
      </c>
      <c r="X59" s="639">
        <f>IF(L59="węgiel",R59*'Założenia,wskaźniki, listy'!$C$48, IF(L59="gaz",R59*'Założenia,wskaźniki, listy'!$D$48,IF(L59="drewno",R59*'Założenia,wskaźniki, listy'!$E$48,IF(L59="pelet",R59*'Założenia,wskaźniki, listy'!$F$48,IF(L59="olej opałowy",R59*'Założenia,wskaźniki, listy'!$G$48,IF(L59="sieć ciepłownicza",0,IF(L59="prąd",0,0)))))))</f>
        <v>2.0348999999999999E-2</v>
      </c>
      <c r="Y59" s="639">
        <f>IF(L59="węgiel",R59*'Założenia,wskaźniki, listy'!$C$49, IF(L59="gaz",R59*'Założenia,wskaźniki, listy'!$D$49, IF(L59="drewno",R59*'Założenia,wskaźniki, listy'!$E$49,IF(L59="pelet",R59*'Założenia,wskaźniki, listy'!$F$49,IF(L59="olej opałowy",R59*'Założenia,wskaźniki, listy'!$G$49,IF(L59="sieć ciepłownicza",0,IF(L59="prąd",0,0)))))))</f>
        <v>3.5723799999999996E-3</v>
      </c>
      <c r="Z59" s="639">
        <f>IF(L59="węgiel",R59*'Założenia,wskaźniki, listy'!$C$50,IF(L59="gaz",R59*'Założenia,wskaźniki, listy'!$D$50, IF(L59="drewno",R59*'Założenia,wskaźniki, listy'!$E$50,IF(L59="pelet",R59*'Założenia,wskaźniki, listy'!$F$50,IF(L59="pelet",R59*'Założenia,wskaźniki, listy'!$F$50,IF(L59="olej opałowy",R59*'Założenia,wskaźniki, listy'!$G$50,IF(L59="sieć ciepłownicza",0,IF(L59="prąd",0,0))))))))</f>
        <v>4.5482789450156456E-2</v>
      </c>
      <c r="AA59" s="639">
        <f>IF(N59="węgiel",Q59*'Założenia,wskaźniki, listy'!$C$44,IF(N59="gaz",Q59*'Założenia,wskaźniki, listy'!$D$44,IF(N59="drewno",Q59*'Założenia,wskaźniki, listy'!$E$44,IF(N59="pelet",Q59*'Założenia,wskaźniki, listy'!$G$44,IF(N59="olej opałowy",Q59*'Założenia,wskaźniki, listy'!$G$44,IF(N59="sieć ciepłownicza",0,IF(N59="prąd",0,0)))))))</f>
        <v>0</v>
      </c>
      <c r="AB59" s="639">
        <f>IF(N59="węgiel",Q59*'Założenia,wskaźniki, listy'!$C$45,IF(N59="gaz",Q59*'Założenia,wskaźniki, listy'!$D$45,IF(N59="drewno",Q59*'Założenia,wskaźniki, listy'!$E$45,IF(N59="pelet",Q59*'Założenia,wskaźniki, listy'!$G$45,IF(N59="olej opałowy",Q59*'Założenia,wskaźniki, listy'!$G$45,IF(N59="sieć ciepłownicza",0,IF(N59="prąd",0,0)))))))</f>
        <v>0</v>
      </c>
      <c r="AC59" s="639">
        <f>IF(N59="węgiel",Q59*'Założenia,wskaźniki, listy'!$C$46,IF(N59="gaz",Q59*'Założenia,wskaźniki, listy'!$D$46,IF(N59="drewno",Q59*'Założenia,wskaźniki, listy'!$E$46,IF(N59="pelet",Q59*'Założenia,wskaźniki, listy'!$G$46,IF(N59="olej opałowy",Q59*'Założenia,wskaźniki, listy'!$G$46,IF(N59="sieć ciepłownicza",0,IF(N59="prąd",0,0)))))))</f>
        <v>0</v>
      </c>
      <c r="AD59" s="639">
        <f>IF(N59="węgiel",Q59*'Założenia,wskaźniki, listy'!$C$47,IF(N59="gaz",Q59*'Założenia,wskaźniki, listy'!$D$47,IF(N59="drewno",Q59*'Założenia,wskaźniki, listy'!$E$47,IF(N59="pelet",Q59*'Założenia,wskaźniki, listy'!$G$47,IF(N59="olej opałowy",Q59*'Założenia,wskaźniki, listy'!$G$47,IF(N59="sieć ciepłownicza",0,IF(N59="prąd",0,0)))))))</f>
        <v>0</v>
      </c>
      <c r="AE59" s="639">
        <f>IF(N59="węgiel",Q59*'Założenia,wskaźniki, listy'!$C$48,IF(N59="gaz",Q59*'Założenia,wskaźniki, listy'!$D$48,IF(N59="drewno",Q59*'Założenia,wskaźniki, listy'!$E$48,IF(N59="pelet",Q59*'Założenia,wskaźniki, listy'!$G$48,IF(N59="olej opałowy",Q59*'Założenia,wskaźniki, listy'!$G$48,IF(N59="sieć ciepłownicza",0,IF(N59="prąd",0,0)))))))</f>
        <v>0</v>
      </c>
      <c r="AF59" s="639">
        <f>IF(N59="węgiel",Q59*'Założenia,wskaźniki, listy'!$C$49,IF(N59="gaz",Q59*'Założenia,wskaźniki, listy'!$D$49,IF(N59="drewno",Q59*'Założenia,wskaźniki, listy'!$E$49,IF(N59="pelet",Q59*'Założenia,wskaźniki, listy'!$G$49,IF(N59="olej opałowy",Q59*'Założenia,wskaźniki, listy'!$G$49,IF(N59="sieć ciepłownicza",0,IF(N59="prąd",0,0)))))))</f>
        <v>0</v>
      </c>
      <c r="AG59" s="639">
        <f>IF(N59="węgiel",Q59*'Założenia,wskaźniki, listy'!$C$50,IF(N59="gaz",Q59*'Założenia,wskaźniki, listy'!$D$50,IF(N59="drewno",Q59*'Założenia,wskaźniki, listy'!$E$50,IF(N59="pelet",Q59*'Założenia,wskaźniki, listy'!$G$50,IF(N59="olej opałowy",Q59*'Założenia,wskaźniki, listy'!$G$50,IF(N59="sieć ciepłownicza",0,IF(N59="prąd",0,0)))))))</f>
        <v>0</v>
      </c>
      <c r="AH59" s="640">
        <f>IF(L59="węgiel",(P59+R59)/2*'Założenia,wskaźniki, listy'!$C$4,IF(L59="gaz",(P59+R59)/2*'Założenia,wskaźniki, listy'!$C$5,IF(L59="drewno",(P59+R59)/2*'Założenia,wskaźniki, listy'!$C$6,IF(L59="pelet",(P59+R59)/2*'Założenia,wskaźniki, listy'!$C$7,IF(L59="olej opałowy",(P59+R59)/2*'Założenia,wskaźniki, listy'!$C$8,IF(L59="sieć ciepłownicza",(P59+R59)/2*'Założenia,wskaźniki, listy'!$C$9,IF(L59="sieć ciepłownicza",(P59+R59)/2*'Założenia,wskaźniki, listy'!$C$10,)))))))</f>
        <v>1570.5049999999999</v>
      </c>
      <c r="AI59" s="640">
        <f>IF(N59="węgiel",Q59*'Założenia,wskaźniki, listy'!$C$4,IF(N59="gaz",Q59*'Założenia,wskaźniki, listy'!$C$5,IF(N59="drewno",Q59*'Założenia,wskaźniki, listy'!$C$6,IF(N59="pelet",Q59*'Założenia,wskaźniki, listy'!$C$7,IF(N59="olej opałowy",Q59*'Założenia,wskaźniki, listy'!$C$8,IF(N59="sieć ciepłownicza",Q59*'Założenia,wskaźniki, listy'!$C$9,IF(N59="sieć ciepłownicza",Q59*'Założenia,wskaźniki, listy'!$C$10,0)))))))</f>
        <v>0</v>
      </c>
      <c r="AJ59" s="640">
        <f>S59*'Założenia,wskaźniki, listy'!$B$64*1000</f>
        <v>1161.2760000000001</v>
      </c>
      <c r="AK59" s="640">
        <f>(H59+I59)*'Założenia,wskaźniki, listy'!$D$64*12</f>
        <v>0</v>
      </c>
      <c r="AL59" s="640">
        <f>AK59*'Założenia,wskaźniki, listy'!$F$64</f>
        <v>0</v>
      </c>
      <c r="AM59" s="639">
        <f t="shared" si="95"/>
        <v>5.0872499999999998E-3</v>
      </c>
      <c r="AN59" s="639">
        <f t="shared" si="96"/>
        <v>4.5446100000000001E-3</v>
      </c>
      <c r="AO59" s="639">
        <f>V59+AC59+S59*'Założenia,wskaźniki, listy'!$J$46</f>
        <v>3.4794627999999994</v>
      </c>
      <c r="AP59" s="639">
        <f t="shared" si="97"/>
        <v>6.1047000000000002E-6</v>
      </c>
      <c r="AQ59" s="639">
        <f t="shared" si="98"/>
        <v>2.0348999999999999E-2</v>
      </c>
      <c r="AR59" s="639">
        <f t="shared" si="99"/>
        <v>3.5723799999999996E-3</v>
      </c>
      <c r="AS59" s="639">
        <f t="shared" si="100"/>
        <v>4.5482789450156456E-2</v>
      </c>
      <c r="AT59" s="647"/>
      <c r="AU59" s="647"/>
      <c r="AV59" s="624" t="b">
        <f t="shared" si="1"/>
        <v>0</v>
      </c>
      <c r="AW59" s="624" t="b">
        <f t="shared" si="2"/>
        <v>0</v>
      </c>
      <c r="AX59" s="624">
        <f t="shared" si="3"/>
        <v>60</v>
      </c>
      <c r="AY59" s="624" t="b">
        <f t="shared" si="4"/>
        <v>0</v>
      </c>
      <c r="AZ59" s="624" t="b">
        <f t="shared" si="5"/>
        <v>0</v>
      </c>
      <c r="BA59" s="624" t="b">
        <f t="shared" si="6"/>
        <v>0</v>
      </c>
      <c r="BB59" s="624" t="b">
        <f t="shared" si="7"/>
        <v>0</v>
      </c>
      <c r="BC59" s="624" t="b">
        <f t="shared" si="8"/>
        <v>0</v>
      </c>
      <c r="BD59" s="624" t="b">
        <f t="shared" si="9"/>
        <v>0</v>
      </c>
      <c r="BE59" s="624" t="b">
        <f t="shared" si="10"/>
        <v>0</v>
      </c>
      <c r="BF59" s="624">
        <f t="shared" si="11"/>
        <v>22.61</v>
      </c>
      <c r="BG59" s="624" t="b">
        <f t="shared" si="12"/>
        <v>0</v>
      </c>
      <c r="BH59" s="624" t="b">
        <f t="shared" si="13"/>
        <v>0</v>
      </c>
      <c r="BI59" s="624" t="b">
        <f t="shared" si="14"/>
        <v>0</v>
      </c>
      <c r="BJ59" s="624" t="b">
        <f t="shared" si="15"/>
        <v>0</v>
      </c>
      <c r="BK59" s="624" t="b">
        <f t="shared" si="16"/>
        <v>0</v>
      </c>
      <c r="BL59" s="624" t="b">
        <f t="shared" si="17"/>
        <v>0</v>
      </c>
      <c r="BM59" s="624" t="b">
        <f t="shared" si="18"/>
        <v>0</v>
      </c>
      <c r="BN59" s="624" t="b">
        <f t="shared" si="19"/>
        <v>0</v>
      </c>
      <c r="BO59" s="624" t="b">
        <f t="shared" si="20"/>
        <v>0</v>
      </c>
      <c r="BP59" s="624" t="b">
        <f t="shared" si="21"/>
        <v>0</v>
      </c>
      <c r="BQ59" s="624" t="b">
        <f t="shared" si="22"/>
        <v>0</v>
      </c>
    </row>
    <row r="60" spans="1:69">
      <c r="A60" s="1087"/>
      <c r="B60" s="872"/>
      <c r="C60" s="872"/>
      <c r="D60" s="645"/>
      <c r="E60" s="645"/>
      <c r="F60" s="644"/>
      <c r="G60" s="644"/>
      <c r="H60" s="644"/>
      <c r="I60" s="635"/>
      <c r="J60" s="644">
        <f>IF(F60&lt;=1966,'Założenia,wskaźniki, listy'!$H$4,IF(F60&gt;1966,IF(F60&lt;=1985,'Założenia,wskaźniki, listy'!$H$5,IF(F60&gt;1985,IF(F60&lt;=1992,'Założenia,wskaźniki, listy'!$H$6,IF(F60&gt;1992,IF(F60&lt;=1996,'Założenia,wskaźniki, listy'!$H$7,IF(F60&gt;1996,IF(F60&lt;=2015,'Założenia,wskaźniki, listy'!$H$8)))))))))</f>
        <v>290</v>
      </c>
      <c r="K60" s="864"/>
      <c r="L60" s="644" t="s">
        <v>79</v>
      </c>
      <c r="M60" s="644">
        <v>2</v>
      </c>
      <c r="N60" s="644"/>
      <c r="O60" s="637">
        <f t="shared" si="23"/>
        <v>30</v>
      </c>
      <c r="P60" s="646">
        <f>IF(K60="kompletna",J60*G60*0.0036*'Założenia,wskaźniki, listy'!$P$9,IF(K60="częściowa",J60*G60*0.0036*'Założenia,wskaźniki, listy'!$P$10,IF(K60="brak",J60*G60*0.0036*'Założenia,wskaźniki, listy'!$P$11,0)))</f>
        <v>0</v>
      </c>
      <c r="Q60" s="638">
        <f>H60*'Założenia,wskaźniki, listy'!$L$15</f>
        <v>0</v>
      </c>
      <c r="R60" s="635">
        <f>IF(L60="węgiel",'Mieszkalne - baza'!M60*'Założenia,wskaźniki, listy'!$B$4,IF(L60="gaz",'Mieszkalne - baza'!M60*'Założenia,wskaźniki, listy'!$B$5,IF(L60="drewno",'Mieszkalne - baza'!M60*'Założenia,wskaźniki, listy'!$B$6,IF(L60="pelet",'Mieszkalne - baza'!M60*'Założenia,wskaźniki, listy'!$B$7,IF(L60="olej opałowy",'Mieszkalne - baza'!M60*'Założenia,wskaźniki, listy'!$B$8,IF(L60="sieć ciepłownicza",0,0))))))</f>
        <v>30</v>
      </c>
      <c r="S60" s="1085"/>
      <c r="T60" s="639">
        <f>IF(L60="węgiel",R60*'Założenia,wskaźniki, listy'!$C$44,IF(L60="gaz",R60*'Założenia,wskaźniki, listy'!$D$44,IF(L60="drewno",R60*'Założenia,wskaźniki, listy'!$E$44,IF(L60="pelet",R60*'Założenia,wskaźniki, listy'!$F$44,IF(L60="olej opałowy",R60*'Założenia,wskaźniki, listy'!$G$44,IF(L60="sieć ciepłownicza",0,IF(L60="prąd",0,0)))))))</f>
        <v>1.44E-2</v>
      </c>
      <c r="U60" s="639">
        <f>IF(L60="węgiel",R60*'Założenia,wskaźniki, listy'!$C$45,IF(L60="gaz",R60*'Założenia,wskaźniki, listy'!$D$45,IF(L60="drewno",R60*'Założenia,wskaźniki, listy'!$E$45,IF(L60="pelet",R60*'Założenia,wskaźniki, listy'!$F$45,IF(L60="olej opałowy",R60*'Założenia,wskaźniki, listy'!$G$45,IF(L60="sieć ciepłownicza",0,IF(L60="prąd",0,0)))))))</f>
        <v>1.41E-2</v>
      </c>
      <c r="V60" s="639">
        <f>IF(L60="węgiel",R60*'Założenia,wskaźniki, listy'!$C$46,IF(L60="gaz",R60*'Założenia,wskaźniki, listy'!$D$46,IF(L60="drewno",R60*'Założenia,wskaźniki, listy'!$E$46,IF(L60="pelet",R60*'Założenia,wskaźniki, listy'!$F$46,IF(L60="olej opałowy",R60*'Założenia,wskaźniki, listy'!$G$46,IF(L60="sieć ciepłownicza",R60*'Założenia,wskaźniki, listy'!$H$46,IF(L60="prąd",R60*'Założenia,wskaźniki, listy'!$I$46,0)))))))</f>
        <v>0</v>
      </c>
      <c r="W60" s="639">
        <f>IF(L60="węgiel",R60*'Założenia,wskaźniki, listy'!$C$47,IF(L60="gaz",R60*'Założenia,wskaźniki, listy'!$D$47,IF(L60="drewno",R60*'Założenia,wskaźniki, listy'!$E$47,IF(L60="pelet",R60*'Założenia,wskaźniki, listy'!$F$47,IF(L60="olej opałowy",R60*'Założenia,wskaźniki, listy'!$G$47,IF(L60="sieć ciepłownicza",0,IF(L60="prąd",0,0)))))))</f>
        <v>3.6300000000000004E-6</v>
      </c>
      <c r="X60" s="639">
        <f>IF(L60="węgiel",R60*'Założenia,wskaźniki, listy'!$C$48, IF(L60="gaz",R60*'Założenia,wskaźniki, listy'!$D$48,IF(L60="drewno",R60*'Założenia,wskaźniki, listy'!$E$48,IF(L60="pelet",R60*'Założenia,wskaźniki, listy'!$F$48,IF(L60="olej opałowy",R60*'Założenia,wskaźniki, listy'!$G$48,IF(L60="sieć ciepłownicza",0,IF(L60="prąd",0,0)))))))</f>
        <v>3.3E-4</v>
      </c>
      <c r="Y60" s="639">
        <f>IF(L60="węgiel",R60*'Założenia,wskaźniki, listy'!$C$49, IF(L60="gaz",R60*'Założenia,wskaźniki, listy'!$D$49, IF(L60="drewno",R60*'Założenia,wskaźniki, listy'!$E$49,IF(L60="pelet",R60*'Założenia,wskaźniki, listy'!$F$49,IF(L60="olej opałowy",R60*'Założenia,wskaźniki, listy'!$G$49,IF(L60="sieć ciepłownicza",0,IF(L60="prąd",0,0)))))))</f>
        <v>2.4000000000000002E-3</v>
      </c>
      <c r="Z60" s="639">
        <f>IF(L60="węgiel",R60*'Założenia,wskaźniki, listy'!$C$50,IF(L60="gaz",R60*'Założenia,wskaźniki, listy'!$D$50, IF(L60="drewno",R60*'Założenia,wskaźniki, listy'!$E$50,IF(L60="pelet",R60*'Założenia,wskaźniki, listy'!$F$50,IF(L60="pelet",R60*'Założenia,wskaźniki, listy'!$F$50,IF(L60="olej opałowy",R60*'Założenia,wskaźniki, listy'!$G$50,IF(L60="sieć ciepłownicza",0,IF(L60="prąd",0,0))))))))</f>
        <v>5.3819999999999996E-3</v>
      </c>
      <c r="AA60" s="639">
        <f>IF(N60="węgiel",Q60*'Założenia,wskaźniki, listy'!$C$44,IF(N60="gaz",Q60*'Założenia,wskaźniki, listy'!$D$44,IF(N60="drewno",Q60*'Założenia,wskaźniki, listy'!$E$44,IF(N60="pelet",Q60*'Założenia,wskaźniki, listy'!$G$44,IF(N60="olej opałowy",Q60*'Założenia,wskaźniki, listy'!$G$44,IF(N60="sieć ciepłownicza",0,IF(N60="prąd",0,0)))))))</f>
        <v>0</v>
      </c>
      <c r="AB60" s="639">
        <f>IF(N60="węgiel",Q60*'Założenia,wskaźniki, listy'!$C$45,IF(N60="gaz",Q60*'Założenia,wskaźniki, listy'!$D$45,IF(N60="drewno",Q60*'Założenia,wskaźniki, listy'!$E$45,IF(N60="pelet",Q60*'Założenia,wskaźniki, listy'!$G$45,IF(N60="olej opałowy",Q60*'Założenia,wskaźniki, listy'!$G$45,IF(N60="sieć ciepłownicza",0,IF(N60="prąd",0,0)))))))</f>
        <v>0</v>
      </c>
      <c r="AC60" s="639">
        <f>IF(N60="węgiel",Q60*'Założenia,wskaźniki, listy'!$C$46,IF(N60="gaz",Q60*'Założenia,wskaźniki, listy'!$D$46,IF(N60="drewno",Q60*'Założenia,wskaźniki, listy'!$E$46,IF(N60="pelet",Q60*'Założenia,wskaźniki, listy'!$G$46,IF(N60="olej opałowy",Q60*'Założenia,wskaźniki, listy'!$G$46,IF(N60="sieć ciepłownicza",0,IF(N60="prąd",0,0)))))))</f>
        <v>0</v>
      </c>
      <c r="AD60" s="639">
        <f>IF(N60="węgiel",Q60*'Założenia,wskaźniki, listy'!$C$47,IF(N60="gaz",Q60*'Założenia,wskaźniki, listy'!$D$47,IF(N60="drewno",Q60*'Założenia,wskaźniki, listy'!$E$47,IF(N60="pelet",Q60*'Założenia,wskaźniki, listy'!$G$47,IF(N60="olej opałowy",Q60*'Założenia,wskaźniki, listy'!$G$47,IF(N60="sieć ciepłownicza",0,IF(N60="prąd",0,0)))))))</f>
        <v>0</v>
      </c>
      <c r="AE60" s="639">
        <f>IF(N60="węgiel",Q60*'Założenia,wskaźniki, listy'!$C$48,IF(N60="gaz",Q60*'Założenia,wskaźniki, listy'!$D$48,IF(N60="drewno",Q60*'Założenia,wskaźniki, listy'!$E$48,IF(N60="pelet",Q60*'Założenia,wskaźniki, listy'!$G$48,IF(N60="olej opałowy",Q60*'Założenia,wskaźniki, listy'!$G$48,IF(N60="sieć ciepłownicza",0,IF(N60="prąd",0,0)))))))</f>
        <v>0</v>
      </c>
      <c r="AF60" s="639">
        <f>IF(N60="węgiel",Q60*'Założenia,wskaźniki, listy'!$C$49,IF(N60="gaz",Q60*'Założenia,wskaźniki, listy'!$D$49,IF(N60="drewno",Q60*'Założenia,wskaźniki, listy'!$E$49,IF(N60="pelet",Q60*'Założenia,wskaźniki, listy'!$G$49,IF(N60="olej opałowy",Q60*'Założenia,wskaźniki, listy'!$G$49,IF(N60="sieć ciepłownicza",0,IF(N60="prąd",0,0)))))))</f>
        <v>0</v>
      </c>
      <c r="AG60" s="639">
        <f>IF(N60="węgiel",Q60*'Założenia,wskaźniki, listy'!$C$50,IF(N60="gaz",Q60*'Założenia,wskaźniki, listy'!$D$50,IF(N60="drewno",Q60*'Założenia,wskaźniki, listy'!$E$50,IF(N60="pelet",Q60*'Założenia,wskaźniki, listy'!$G$50,IF(N60="olej opałowy",Q60*'Założenia,wskaźniki, listy'!$G$50,IF(N60="sieć ciepłownicza",0,IF(N60="prąd",0,0)))))))</f>
        <v>0</v>
      </c>
      <c r="AH60" s="640">
        <f>IF(L60="węgiel",(P60+R60)/2*'Założenia,wskaźniki, listy'!$C$4,IF(L60="gaz",(P60+R60)/2*'Założenia,wskaźniki, listy'!$C$5,IF(L60="drewno",(P60+R60)/2*'Założenia,wskaźniki, listy'!$C$6,IF(L60="pelet",(P60+R60)/2*'Założenia,wskaźniki, listy'!$C$7,IF(L60="olej opałowy",(P60+R60)/2*'Założenia,wskaźniki, listy'!$C$8,IF(L60="sieć ciepłownicza",(P60+R60)/2*'Założenia,wskaźniki, listy'!$C$9,IF(L60="sieć ciepłownicza",(P60+R60)/2*'Założenia,wskaźniki, listy'!$C$10,)))))))</f>
        <v>570</v>
      </c>
      <c r="AI60" s="640">
        <f>IF(N60="węgiel",Q60*'Założenia,wskaźniki, listy'!$C$4,IF(N60="gaz",Q60*'Założenia,wskaźniki, listy'!$C$5,IF(N60="drewno",Q60*'Założenia,wskaźniki, listy'!$C$6,IF(N60="pelet",Q60*'Założenia,wskaźniki, listy'!$C$7,IF(N60="olej opałowy",Q60*'Założenia,wskaźniki, listy'!$C$8,IF(N60="sieć ciepłownicza",Q60*'Założenia,wskaźniki, listy'!$C$9,IF(N60="sieć ciepłownicza",Q60*'Założenia,wskaźniki, listy'!$C$10,0)))))))</f>
        <v>0</v>
      </c>
      <c r="AJ60" s="640">
        <f>S60*'Założenia,wskaźniki, listy'!$B$64*1000</f>
        <v>0</v>
      </c>
      <c r="AK60" s="640">
        <f>(H60+I60)*'Założenia,wskaźniki, listy'!$D$64*12</f>
        <v>0</v>
      </c>
      <c r="AL60" s="640">
        <f>AK60*'Założenia,wskaźniki, listy'!$F$64</f>
        <v>0</v>
      </c>
      <c r="AM60" s="639">
        <f t="shared" si="95"/>
        <v>1.44E-2</v>
      </c>
      <c r="AN60" s="639">
        <f t="shared" si="96"/>
        <v>1.41E-2</v>
      </c>
      <c r="AO60" s="639">
        <f>V60+AC60+S60*'Założenia,wskaźniki, listy'!$J$46</f>
        <v>0</v>
      </c>
      <c r="AP60" s="639">
        <f t="shared" si="97"/>
        <v>3.6300000000000004E-6</v>
      </c>
      <c r="AQ60" s="639">
        <f t="shared" si="98"/>
        <v>3.3E-4</v>
      </c>
      <c r="AR60" s="639">
        <f t="shared" si="99"/>
        <v>2.4000000000000002E-3</v>
      </c>
      <c r="AS60" s="639">
        <f t="shared" si="100"/>
        <v>5.3819999999999996E-3</v>
      </c>
      <c r="AT60" s="647"/>
      <c r="AU60" s="647"/>
      <c r="AV60" s="624">
        <f t="shared" si="1"/>
        <v>0</v>
      </c>
      <c r="AW60" s="624" t="b">
        <f t="shared" si="2"/>
        <v>0</v>
      </c>
      <c r="AX60" s="624" t="b">
        <f t="shared" si="3"/>
        <v>0</v>
      </c>
      <c r="AY60" s="624" t="b">
        <f t="shared" si="4"/>
        <v>0</v>
      </c>
      <c r="AZ60" s="624" t="b">
        <f t="shared" si="5"/>
        <v>0</v>
      </c>
      <c r="BA60" s="624" t="b">
        <f t="shared" si="6"/>
        <v>0</v>
      </c>
      <c r="BB60" s="624" t="b">
        <f t="shared" si="7"/>
        <v>0</v>
      </c>
      <c r="BC60" s="624" t="b">
        <f t="shared" si="8"/>
        <v>0</v>
      </c>
      <c r="BD60" s="624" t="b">
        <f t="shared" si="9"/>
        <v>0</v>
      </c>
      <c r="BE60" s="624" t="b">
        <f t="shared" si="10"/>
        <v>0</v>
      </c>
      <c r="BF60" s="624" t="b">
        <f t="shared" si="11"/>
        <v>0</v>
      </c>
      <c r="BG60" s="624" t="b">
        <f t="shared" si="12"/>
        <v>0</v>
      </c>
      <c r="BH60" s="624">
        <f t="shared" si="13"/>
        <v>30</v>
      </c>
      <c r="BI60" s="624" t="b">
        <f t="shared" si="14"/>
        <v>0</v>
      </c>
      <c r="BJ60" s="624" t="b">
        <f t="shared" si="15"/>
        <v>0</v>
      </c>
      <c r="BK60" s="624" t="b">
        <f t="shared" si="16"/>
        <v>0</v>
      </c>
      <c r="BL60" s="624" t="b">
        <f t="shared" si="17"/>
        <v>0</v>
      </c>
      <c r="BM60" s="624" t="b">
        <f t="shared" si="18"/>
        <v>0</v>
      </c>
      <c r="BN60" s="624" t="b">
        <f t="shared" si="19"/>
        <v>0</v>
      </c>
      <c r="BO60" s="624" t="b">
        <f t="shared" si="20"/>
        <v>0</v>
      </c>
      <c r="BP60" s="624" t="b">
        <f t="shared" si="21"/>
        <v>0</v>
      </c>
      <c r="BQ60" s="624" t="b">
        <f t="shared" si="22"/>
        <v>0</v>
      </c>
    </row>
    <row r="61" spans="1:69">
      <c r="A61" s="1091">
        <v>29</v>
      </c>
      <c r="B61" s="872" t="s">
        <v>21</v>
      </c>
      <c r="C61" s="873" t="s">
        <v>621</v>
      </c>
      <c r="D61" s="645" t="s">
        <v>628</v>
      </c>
      <c r="E61" s="645">
        <v>22</v>
      </c>
      <c r="F61" s="644">
        <v>1948</v>
      </c>
      <c r="G61" s="644">
        <v>100</v>
      </c>
      <c r="H61" s="644"/>
      <c r="I61" s="635"/>
      <c r="J61" s="644">
        <f>IF(F61&lt;=1966,'Założenia,wskaźniki, listy'!$H$4,IF(F61&gt;1966,IF(F61&lt;=1985,'Założenia,wskaźniki, listy'!$H$5,IF(F61&gt;1985,IF(F61&lt;=1992,'Założenia,wskaźniki, listy'!$H$6,IF(F61&gt;1992,IF(F61&lt;=1996,'Założenia,wskaźniki, listy'!$H$7,IF(F61&gt;1996,IF(F61&lt;=2015,'Założenia,wskaźniki, listy'!$H$8)))))))))</f>
        <v>290</v>
      </c>
      <c r="K61" s="864" t="s">
        <v>33</v>
      </c>
      <c r="L61" s="644" t="s">
        <v>8</v>
      </c>
      <c r="M61" s="872">
        <v>1</v>
      </c>
      <c r="N61" s="644"/>
      <c r="O61" s="637">
        <f t="shared" si="23"/>
        <v>53.064999999999998</v>
      </c>
      <c r="P61" s="646">
        <f>IF(K61="kompletna",J61*G61*0.0036*'Założenia,wskaźniki, listy'!$P$9,IF(K61="częściowa",J61*G61*0.0036*'Założenia,wskaźniki, listy'!$P$10,IF(K61="brak",J61*G61*0.0036*'Założenia,wskaźniki, listy'!$P$11,0)))</f>
        <v>83.52</v>
      </c>
      <c r="Q61" s="638">
        <f>H61*'Założenia,wskaźniki, listy'!$L$15</f>
        <v>0</v>
      </c>
      <c r="R61" s="635">
        <f>IF(L61="węgiel",'Mieszkalne - baza'!M61*'Założenia,wskaźniki, listy'!$B$4,IF(L61="gaz",'Mieszkalne - baza'!M61*'Założenia,wskaźniki, listy'!$B$5,IF(L61="drewno",'Mieszkalne - baza'!M61*'Założenia,wskaźniki, listy'!$B$6,IF(L61="pelet",'Mieszkalne - baza'!M61*'Założenia,wskaźniki, listy'!$B$7,IF(L61="olej opałowy",'Mieszkalne - baza'!M61*'Założenia,wskaźniki, listy'!$B$8,IF(L61="sieć ciepłownicza",0,0))))))</f>
        <v>22.61</v>
      </c>
      <c r="S61" s="1084">
        <v>1.9176</v>
      </c>
      <c r="T61" s="639">
        <f>IF(L61="węgiel",R61*'Założenia,wskaźniki, listy'!$C$44,IF(L61="gaz",R61*'Założenia,wskaźniki, listy'!$D$44,IF(L61="drewno",R61*'Założenia,wskaźniki, listy'!$E$44,IF(L61="pelet",R61*'Założenia,wskaźniki, listy'!$F$44,IF(L61="olej opałowy",R61*'Założenia,wskaźniki, listy'!$G$44,IF(L61="sieć ciepłownicza",0,IF(L61="prąd",0,0)))))))</f>
        <v>5.0872499999999998E-3</v>
      </c>
      <c r="U61" s="639">
        <f>IF(L61="węgiel",R61*'Założenia,wskaźniki, listy'!$C$45,IF(L61="gaz",R61*'Założenia,wskaźniki, listy'!$D$45,IF(L61="drewno",R61*'Założenia,wskaźniki, listy'!$E$45,IF(L61="pelet",R61*'Założenia,wskaźniki, listy'!$F$45,IF(L61="olej opałowy",R61*'Założenia,wskaźniki, listy'!$G$45,IF(L61="sieć ciepłownicza",0,IF(L61="prąd",0,0)))))))</f>
        <v>4.5446100000000001E-3</v>
      </c>
      <c r="V61" s="639">
        <f>IF(L61="węgiel",R61*'Założenia,wskaźniki, listy'!$C$46,IF(L61="gaz",R61*'Założenia,wskaźniki, listy'!$D$46,IF(L61="drewno",R61*'Założenia,wskaźniki, listy'!$E$46,IF(L61="pelet",R61*'Założenia,wskaźniki, listy'!$F$46,IF(L61="olej opałowy",R61*'Założenia,wskaźniki, listy'!$G$46,IF(L61="sieć ciepłownicza",R61*'Założenia,wskaźniki, listy'!$H$46,IF(L61="prąd",R61*'Założenia,wskaźniki, listy'!$I$46,0)))))))</f>
        <v>2.1194613999999996</v>
      </c>
      <c r="W61" s="639">
        <f>IF(L61="węgiel",R61*'Założenia,wskaźniki, listy'!$C$47,IF(L61="gaz",R61*'Założenia,wskaźniki, listy'!$D$47,IF(L61="drewno",R61*'Założenia,wskaźniki, listy'!$E$47,IF(L61="pelet",R61*'Założenia,wskaźniki, listy'!$F$47,IF(L61="olej opałowy",R61*'Założenia,wskaźniki, listy'!$G$47,IF(L61="sieć ciepłownicza",0,IF(L61="prąd",0,0)))))))</f>
        <v>6.1047000000000002E-6</v>
      </c>
      <c r="X61" s="639">
        <f>IF(L61="węgiel",R61*'Założenia,wskaźniki, listy'!$C$48, IF(L61="gaz",R61*'Założenia,wskaźniki, listy'!$D$48,IF(L61="drewno",R61*'Założenia,wskaźniki, listy'!$E$48,IF(L61="pelet",R61*'Założenia,wskaźniki, listy'!$F$48,IF(L61="olej opałowy",R61*'Założenia,wskaźniki, listy'!$G$48,IF(L61="sieć ciepłownicza",0,IF(L61="prąd",0,0)))))))</f>
        <v>2.0348999999999999E-2</v>
      </c>
      <c r="Y61" s="639">
        <f>IF(L61="węgiel",R61*'Założenia,wskaźniki, listy'!$C$49, IF(L61="gaz",R61*'Założenia,wskaźniki, listy'!$D$49, IF(L61="drewno",R61*'Założenia,wskaźniki, listy'!$E$49,IF(L61="pelet",R61*'Założenia,wskaźniki, listy'!$F$49,IF(L61="olej opałowy",R61*'Założenia,wskaźniki, listy'!$G$49,IF(L61="sieć ciepłownicza",0,IF(L61="prąd",0,0)))))))</f>
        <v>3.5723799999999996E-3</v>
      </c>
      <c r="Z61" s="639">
        <f>IF(L61="węgiel",R61*'Założenia,wskaźniki, listy'!$C$50,IF(L61="gaz",R61*'Założenia,wskaźniki, listy'!$D$50, IF(L61="drewno",R61*'Założenia,wskaźniki, listy'!$E$50,IF(L61="pelet",R61*'Założenia,wskaźniki, listy'!$F$50,IF(L61="pelet",R61*'Założenia,wskaźniki, listy'!$F$50,IF(L61="olej opałowy",R61*'Założenia,wskaźniki, listy'!$G$50,IF(L61="sieć ciepłownicza",0,IF(L61="prąd",0,0))))))))</f>
        <v>4.5482789450156456E-2</v>
      </c>
      <c r="AA61" s="639">
        <f>IF(N61="węgiel",Q61*'Założenia,wskaźniki, listy'!$C$44,IF(N61="gaz",Q61*'Założenia,wskaźniki, listy'!$D$44,IF(N61="drewno",Q61*'Założenia,wskaźniki, listy'!$E$44,IF(N61="pelet",Q61*'Założenia,wskaźniki, listy'!$G$44,IF(N61="olej opałowy",Q61*'Założenia,wskaźniki, listy'!$G$44,IF(N61="sieć ciepłownicza",0,IF(N61="prąd",0,0)))))))</f>
        <v>0</v>
      </c>
      <c r="AB61" s="639">
        <f>IF(N61="węgiel",Q61*'Założenia,wskaźniki, listy'!$C$45,IF(N61="gaz",Q61*'Założenia,wskaźniki, listy'!$D$45,IF(N61="drewno",Q61*'Założenia,wskaźniki, listy'!$E$45,IF(N61="pelet",Q61*'Założenia,wskaźniki, listy'!$G$45,IF(N61="olej opałowy",Q61*'Założenia,wskaźniki, listy'!$G$45,IF(N61="sieć ciepłownicza",0,IF(N61="prąd",0,0)))))))</f>
        <v>0</v>
      </c>
      <c r="AC61" s="639">
        <f>IF(N61="węgiel",Q61*'Założenia,wskaźniki, listy'!$C$46,IF(N61="gaz",Q61*'Założenia,wskaźniki, listy'!$D$46,IF(N61="drewno",Q61*'Założenia,wskaźniki, listy'!$E$46,IF(N61="pelet",Q61*'Założenia,wskaźniki, listy'!$G$46,IF(N61="olej opałowy",Q61*'Założenia,wskaźniki, listy'!$G$46,IF(N61="sieć ciepłownicza",0,IF(N61="prąd",0,0)))))))</f>
        <v>0</v>
      </c>
      <c r="AD61" s="639">
        <f>IF(N61="węgiel",Q61*'Założenia,wskaźniki, listy'!$C$47,IF(N61="gaz",Q61*'Założenia,wskaźniki, listy'!$D$47,IF(N61="drewno",Q61*'Założenia,wskaźniki, listy'!$E$47,IF(N61="pelet",Q61*'Założenia,wskaźniki, listy'!$G$47,IF(N61="olej opałowy",Q61*'Założenia,wskaźniki, listy'!$G$47,IF(N61="sieć ciepłownicza",0,IF(N61="prąd",0,0)))))))</f>
        <v>0</v>
      </c>
      <c r="AE61" s="639">
        <f>IF(N61="węgiel",Q61*'Założenia,wskaźniki, listy'!$C$48,IF(N61="gaz",Q61*'Założenia,wskaźniki, listy'!$D$48,IF(N61="drewno",Q61*'Założenia,wskaźniki, listy'!$E$48,IF(N61="pelet",Q61*'Założenia,wskaźniki, listy'!$G$48,IF(N61="olej opałowy",Q61*'Założenia,wskaźniki, listy'!$G$48,IF(N61="sieć ciepłownicza",0,IF(N61="prąd",0,0)))))))</f>
        <v>0</v>
      </c>
      <c r="AF61" s="639">
        <f>IF(N61="węgiel",Q61*'Założenia,wskaźniki, listy'!$C$49,IF(N61="gaz",Q61*'Założenia,wskaźniki, listy'!$D$49,IF(N61="drewno",Q61*'Założenia,wskaźniki, listy'!$E$49,IF(N61="pelet",Q61*'Założenia,wskaźniki, listy'!$G$49,IF(N61="olej opałowy",Q61*'Założenia,wskaźniki, listy'!$G$49,IF(N61="sieć ciepłownicza",0,IF(N61="prąd",0,0)))))))</f>
        <v>0</v>
      </c>
      <c r="AG61" s="639">
        <f>IF(N61="węgiel",Q61*'Założenia,wskaźniki, listy'!$C$50,IF(N61="gaz",Q61*'Założenia,wskaźniki, listy'!$D$50,IF(N61="drewno",Q61*'Założenia,wskaźniki, listy'!$E$50,IF(N61="pelet",Q61*'Założenia,wskaźniki, listy'!$G$50,IF(N61="olej opałowy",Q61*'Założenia,wskaźniki, listy'!$G$50,IF(N61="sieć ciepłownicza",0,IF(N61="prąd",0,0)))))))</f>
        <v>0</v>
      </c>
      <c r="AH61" s="640">
        <f>IF(L61="węgiel",(P61+R61)/2*'Założenia,wskaźniki, listy'!$C$4,IF(L61="gaz",(P61+R61)/2*'Założenia,wskaźniki, listy'!$C$5,IF(L61="drewno",(P61+R61)/2*'Założenia,wskaźniki, listy'!$C$6,IF(L61="pelet",(P61+R61)/2*'Założenia,wskaźniki, listy'!$C$7,IF(L61="olej opałowy",(P61+R61)/2*'Założenia,wskaźniki, listy'!$C$8,IF(L61="sieć ciepłownicza",(P61+R61)/2*'Założenia,wskaźniki, listy'!$C$9,IF(L61="sieć ciepłownicza",(P61+R61)/2*'Założenia,wskaźniki, listy'!$C$10,)))))))</f>
        <v>2175.665</v>
      </c>
      <c r="AI61" s="640">
        <f>IF(N61="węgiel",Q61*'Założenia,wskaźniki, listy'!$C$4,IF(N61="gaz",Q61*'Założenia,wskaźniki, listy'!$C$5,IF(N61="drewno",Q61*'Założenia,wskaźniki, listy'!$C$6,IF(N61="pelet",Q61*'Założenia,wskaźniki, listy'!$C$7,IF(N61="olej opałowy",Q61*'Założenia,wskaźniki, listy'!$C$8,IF(N61="sieć ciepłownicza",Q61*'Założenia,wskaźniki, listy'!$C$9,IF(N61="sieć ciepłownicza",Q61*'Założenia,wskaźniki, listy'!$C$10,0)))))))</f>
        <v>0</v>
      </c>
      <c r="AJ61" s="640">
        <f>S61*'Założenia,wskaźniki, listy'!$B$64*1000</f>
        <v>1361.4959999999999</v>
      </c>
      <c r="AK61" s="640">
        <f>(H61+I61)*'Założenia,wskaźniki, listy'!$D$64*12</f>
        <v>0</v>
      </c>
      <c r="AL61" s="640">
        <f>AK61*'Założenia,wskaźniki, listy'!$F$64</f>
        <v>0</v>
      </c>
      <c r="AM61" s="639">
        <f t="shared" si="95"/>
        <v>5.0872499999999998E-3</v>
      </c>
      <c r="AN61" s="639">
        <f t="shared" si="96"/>
        <v>4.5446100000000001E-3</v>
      </c>
      <c r="AO61" s="639">
        <f>V61+AC61+S61*'Założenia,wskaźniki, listy'!$J$46</f>
        <v>3.7139457999999994</v>
      </c>
      <c r="AP61" s="639">
        <f t="shared" si="97"/>
        <v>6.1047000000000002E-6</v>
      </c>
      <c r="AQ61" s="639">
        <f t="shared" si="98"/>
        <v>2.0348999999999999E-2</v>
      </c>
      <c r="AR61" s="639">
        <f t="shared" si="99"/>
        <v>3.5723799999999996E-3</v>
      </c>
      <c r="AS61" s="639">
        <f t="shared" si="100"/>
        <v>4.5482789450156456E-2</v>
      </c>
      <c r="AT61" s="647"/>
      <c r="AU61" s="647"/>
      <c r="AV61" s="624">
        <f t="shared" si="1"/>
        <v>100</v>
      </c>
      <c r="AW61" s="624">
        <f t="shared" si="2"/>
        <v>50</v>
      </c>
      <c r="AX61" s="624" t="b">
        <f t="shared" si="3"/>
        <v>0</v>
      </c>
      <c r="AY61" s="624">
        <f t="shared" si="4"/>
        <v>0</v>
      </c>
      <c r="AZ61" s="624" t="b">
        <f t="shared" si="5"/>
        <v>0</v>
      </c>
      <c r="BA61" s="624">
        <f t="shared" si="6"/>
        <v>0</v>
      </c>
      <c r="BB61" s="624" t="b">
        <f t="shared" si="7"/>
        <v>0</v>
      </c>
      <c r="BC61" s="624">
        <f t="shared" si="8"/>
        <v>0</v>
      </c>
      <c r="BD61" s="624" t="b">
        <f t="shared" si="9"/>
        <v>0</v>
      </c>
      <c r="BE61" s="624">
        <f t="shared" si="10"/>
        <v>0</v>
      </c>
      <c r="BF61" s="624">
        <f t="shared" si="11"/>
        <v>22.61</v>
      </c>
      <c r="BG61" s="624" t="b">
        <f t="shared" si="12"/>
        <v>0</v>
      </c>
      <c r="BH61" s="624" t="b">
        <f t="shared" si="13"/>
        <v>0</v>
      </c>
      <c r="BI61" s="624" t="b">
        <f t="shared" si="14"/>
        <v>0</v>
      </c>
      <c r="BJ61" s="624" t="b">
        <f t="shared" si="15"/>
        <v>0</v>
      </c>
      <c r="BK61" s="624" t="b">
        <f t="shared" si="16"/>
        <v>0</v>
      </c>
      <c r="BL61" s="624" t="b">
        <f t="shared" si="17"/>
        <v>0</v>
      </c>
      <c r="BM61" s="624" t="b">
        <f t="shared" si="18"/>
        <v>0</v>
      </c>
      <c r="BN61" s="624" t="b">
        <f t="shared" si="19"/>
        <v>0</v>
      </c>
      <c r="BO61" s="624" t="b">
        <f t="shared" si="20"/>
        <v>0</v>
      </c>
      <c r="BP61" s="624" t="b">
        <f t="shared" si="21"/>
        <v>0</v>
      </c>
      <c r="BQ61" s="624" t="b">
        <f t="shared" si="22"/>
        <v>0</v>
      </c>
    </row>
    <row r="62" spans="1:69">
      <c r="A62" s="1092"/>
      <c r="B62" s="872"/>
      <c r="C62" s="872"/>
      <c r="D62" s="645"/>
      <c r="E62" s="645"/>
      <c r="F62" s="644"/>
      <c r="G62" s="644"/>
      <c r="H62" s="644"/>
      <c r="I62" s="635"/>
      <c r="J62" s="644">
        <f>IF(F62&lt;=1966,'Założenia,wskaźniki, listy'!$H$4,IF(F62&gt;1966,IF(F62&lt;=1985,'Założenia,wskaźniki, listy'!$H$5,IF(F62&gt;1985,IF(F62&lt;=1992,'Założenia,wskaźniki, listy'!$H$6,IF(F62&gt;1992,IF(F62&lt;=1996,'Założenia,wskaźniki, listy'!$H$7,IF(F62&gt;1996,IF(F62&lt;=2015,'Założenia,wskaźniki, listy'!$H$8)))))))))</f>
        <v>290</v>
      </c>
      <c r="K62" s="864"/>
      <c r="L62" s="644" t="s">
        <v>79</v>
      </c>
      <c r="M62" s="872">
        <v>2</v>
      </c>
      <c r="N62" s="644"/>
      <c r="O62" s="637">
        <f t="shared" si="23"/>
        <v>30</v>
      </c>
      <c r="P62" s="646">
        <f>IF(K62="kompletna",J62*G62*0.0036*'Założenia,wskaźniki, listy'!$P$9,IF(K62="częściowa",J62*G62*0.0036*'Założenia,wskaźniki, listy'!$P$10,IF(K62="brak",J62*G62*0.0036*'Założenia,wskaźniki, listy'!$P$11,0)))</f>
        <v>0</v>
      </c>
      <c r="Q62" s="638">
        <f>H62*'Założenia,wskaźniki, listy'!$L$15</f>
        <v>0</v>
      </c>
      <c r="R62" s="635">
        <f>IF(L62="węgiel",'Mieszkalne - baza'!M62*'Założenia,wskaźniki, listy'!$B$4,IF(L62="gaz",'Mieszkalne - baza'!M62*'Założenia,wskaźniki, listy'!$B$5,IF(L62="drewno",'Mieszkalne - baza'!M62*'Założenia,wskaźniki, listy'!$B$6,IF(L62="pelet",'Mieszkalne - baza'!M62*'Założenia,wskaźniki, listy'!$B$7,IF(L62="olej opałowy",'Mieszkalne - baza'!M62*'Założenia,wskaźniki, listy'!$B$8,IF(L62="sieć ciepłownicza",0,0))))))</f>
        <v>30</v>
      </c>
      <c r="S62" s="1085"/>
      <c r="T62" s="639">
        <f>IF(L62="węgiel",R62*'Założenia,wskaźniki, listy'!$C$44,IF(L62="gaz",R62*'Założenia,wskaźniki, listy'!$D$44,IF(L62="drewno",R62*'Założenia,wskaźniki, listy'!$E$44,IF(L62="pelet",R62*'Założenia,wskaźniki, listy'!$F$44,IF(L62="olej opałowy",R62*'Założenia,wskaźniki, listy'!$G$44,IF(L62="sieć ciepłownicza",0,IF(L62="prąd",0,0)))))))</f>
        <v>1.44E-2</v>
      </c>
      <c r="U62" s="639">
        <f>IF(L62="węgiel",R62*'Założenia,wskaźniki, listy'!$C$45,IF(L62="gaz",R62*'Założenia,wskaźniki, listy'!$D$45,IF(L62="drewno",R62*'Założenia,wskaźniki, listy'!$E$45,IF(L62="pelet",R62*'Założenia,wskaźniki, listy'!$F$45,IF(L62="olej opałowy",R62*'Założenia,wskaźniki, listy'!$G$45,IF(L62="sieć ciepłownicza",0,IF(L62="prąd",0,0)))))))</f>
        <v>1.41E-2</v>
      </c>
      <c r="V62" s="639">
        <f>IF(L62="węgiel",R62*'Założenia,wskaźniki, listy'!$C$46,IF(L62="gaz",R62*'Założenia,wskaźniki, listy'!$D$46,IF(L62="drewno",R62*'Założenia,wskaźniki, listy'!$E$46,IF(L62="pelet",R62*'Założenia,wskaźniki, listy'!$F$46,IF(L62="olej opałowy",R62*'Założenia,wskaźniki, listy'!$G$46,IF(L62="sieć ciepłownicza",R62*'Założenia,wskaźniki, listy'!$H$46,IF(L62="prąd",R62*'Założenia,wskaźniki, listy'!$I$46,0)))))))</f>
        <v>0</v>
      </c>
      <c r="W62" s="639">
        <f>IF(L62="węgiel",R62*'Założenia,wskaźniki, listy'!$C$47,IF(L62="gaz",R62*'Założenia,wskaźniki, listy'!$D$47,IF(L62="drewno",R62*'Założenia,wskaźniki, listy'!$E$47,IF(L62="pelet",R62*'Założenia,wskaźniki, listy'!$F$47,IF(L62="olej opałowy",R62*'Założenia,wskaźniki, listy'!$G$47,IF(L62="sieć ciepłownicza",0,IF(L62="prąd",0,0)))))))</f>
        <v>3.6300000000000004E-6</v>
      </c>
      <c r="X62" s="639">
        <f>IF(L62="węgiel",R62*'Założenia,wskaźniki, listy'!$C$48, IF(L62="gaz",R62*'Założenia,wskaźniki, listy'!$D$48,IF(L62="drewno",R62*'Założenia,wskaźniki, listy'!$E$48,IF(L62="pelet",R62*'Założenia,wskaźniki, listy'!$F$48,IF(L62="olej opałowy",R62*'Założenia,wskaźniki, listy'!$G$48,IF(L62="sieć ciepłownicza",0,IF(L62="prąd",0,0)))))))</f>
        <v>3.3E-4</v>
      </c>
      <c r="Y62" s="639">
        <f>IF(L62="węgiel",R62*'Założenia,wskaźniki, listy'!$C$49, IF(L62="gaz",R62*'Założenia,wskaźniki, listy'!$D$49, IF(L62="drewno",R62*'Założenia,wskaźniki, listy'!$E$49,IF(L62="pelet",R62*'Założenia,wskaźniki, listy'!$F$49,IF(L62="olej opałowy",R62*'Założenia,wskaźniki, listy'!$G$49,IF(L62="sieć ciepłownicza",0,IF(L62="prąd",0,0)))))))</f>
        <v>2.4000000000000002E-3</v>
      </c>
      <c r="Z62" s="639">
        <f>IF(L62="węgiel",R62*'Założenia,wskaźniki, listy'!$C$50,IF(L62="gaz",R62*'Założenia,wskaźniki, listy'!$D$50, IF(L62="drewno",R62*'Założenia,wskaźniki, listy'!$E$50,IF(L62="pelet",R62*'Założenia,wskaźniki, listy'!$F$50,IF(L62="pelet",R62*'Założenia,wskaźniki, listy'!$F$50,IF(L62="olej opałowy",R62*'Założenia,wskaźniki, listy'!$G$50,IF(L62="sieć ciepłownicza",0,IF(L62="prąd",0,0))))))))</f>
        <v>5.3819999999999996E-3</v>
      </c>
      <c r="AA62" s="639">
        <f>IF(N62="węgiel",Q62*'Założenia,wskaźniki, listy'!$C$44,IF(N62="gaz",Q62*'Założenia,wskaźniki, listy'!$D$44,IF(N62="drewno",Q62*'Założenia,wskaźniki, listy'!$E$44,IF(N62="pelet",Q62*'Założenia,wskaźniki, listy'!$G$44,IF(N62="olej opałowy",Q62*'Założenia,wskaźniki, listy'!$G$44,IF(N62="sieć ciepłownicza",0,IF(N62="prąd",0,0)))))))</f>
        <v>0</v>
      </c>
      <c r="AB62" s="639">
        <f>IF(N62="węgiel",Q62*'Założenia,wskaźniki, listy'!$C$45,IF(N62="gaz",Q62*'Założenia,wskaźniki, listy'!$D$45,IF(N62="drewno",Q62*'Założenia,wskaźniki, listy'!$E$45,IF(N62="pelet",Q62*'Założenia,wskaźniki, listy'!$G$45,IF(N62="olej opałowy",Q62*'Założenia,wskaźniki, listy'!$G$45,IF(N62="sieć ciepłownicza",0,IF(N62="prąd",0,0)))))))</f>
        <v>0</v>
      </c>
      <c r="AC62" s="639">
        <f>IF(N62="węgiel",Q62*'Założenia,wskaźniki, listy'!$C$46,IF(N62="gaz",Q62*'Założenia,wskaźniki, listy'!$D$46,IF(N62="drewno",Q62*'Założenia,wskaźniki, listy'!$E$46,IF(N62="pelet",Q62*'Założenia,wskaźniki, listy'!$G$46,IF(N62="olej opałowy",Q62*'Założenia,wskaźniki, listy'!$G$46,IF(N62="sieć ciepłownicza",0,IF(N62="prąd",0,0)))))))</f>
        <v>0</v>
      </c>
      <c r="AD62" s="639">
        <f>IF(N62="węgiel",Q62*'Założenia,wskaźniki, listy'!$C$47,IF(N62="gaz",Q62*'Założenia,wskaźniki, listy'!$D$47,IF(N62="drewno",Q62*'Założenia,wskaźniki, listy'!$E$47,IF(N62="pelet",Q62*'Założenia,wskaźniki, listy'!$G$47,IF(N62="olej opałowy",Q62*'Założenia,wskaźniki, listy'!$G$47,IF(N62="sieć ciepłownicza",0,IF(N62="prąd",0,0)))))))</f>
        <v>0</v>
      </c>
      <c r="AE62" s="639">
        <f>IF(N62="węgiel",Q62*'Założenia,wskaźniki, listy'!$C$48,IF(N62="gaz",Q62*'Założenia,wskaźniki, listy'!$D$48,IF(N62="drewno",Q62*'Założenia,wskaźniki, listy'!$E$48,IF(N62="pelet",Q62*'Założenia,wskaźniki, listy'!$G$48,IF(N62="olej opałowy",Q62*'Założenia,wskaźniki, listy'!$G$48,IF(N62="sieć ciepłownicza",0,IF(N62="prąd",0,0)))))))</f>
        <v>0</v>
      </c>
      <c r="AF62" s="639">
        <f>IF(N62="węgiel",Q62*'Założenia,wskaźniki, listy'!$C$49,IF(N62="gaz",Q62*'Założenia,wskaźniki, listy'!$D$49,IF(N62="drewno",Q62*'Założenia,wskaźniki, listy'!$E$49,IF(N62="pelet",Q62*'Założenia,wskaźniki, listy'!$G$49,IF(N62="olej opałowy",Q62*'Założenia,wskaźniki, listy'!$G$49,IF(N62="sieć ciepłownicza",0,IF(N62="prąd",0,0)))))))</f>
        <v>0</v>
      </c>
      <c r="AG62" s="639">
        <f>IF(N62="węgiel",Q62*'Założenia,wskaźniki, listy'!$C$50,IF(N62="gaz",Q62*'Założenia,wskaźniki, listy'!$D$50,IF(N62="drewno",Q62*'Założenia,wskaźniki, listy'!$E$50,IF(N62="pelet",Q62*'Założenia,wskaźniki, listy'!$G$50,IF(N62="olej opałowy",Q62*'Założenia,wskaźniki, listy'!$G$50,IF(N62="sieć ciepłownicza",0,IF(N62="prąd",0,0)))))))</f>
        <v>0</v>
      </c>
      <c r="AH62" s="640">
        <f>IF(L62="węgiel",(P62+R62)/2*'Założenia,wskaźniki, listy'!$C$4,IF(L62="gaz",(P62+R62)/2*'Założenia,wskaźniki, listy'!$C$5,IF(L62="drewno",(P62+R62)/2*'Założenia,wskaźniki, listy'!$C$6,IF(L62="pelet",(P62+R62)/2*'Założenia,wskaźniki, listy'!$C$7,IF(L62="olej opałowy",(P62+R62)/2*'Założenia,wskaźniki, listy'!$C$8,IF(L62="sieć ciepłownicza",(P62+R62)/2*'Założenia,wskaźniki, listy'!$C$9,IF(L62="sieć ciepłownicza",(P62+R62)/2*'Założenia,wskaźniki, listy'!$C$10,)))))))</f>
        <v>570</v>
      </c>
      <c r="AI62" s="640">
        <f>IF(N62="węgiel",Q62*'Założenia,wskaźniki, listy'!$C$4,IF(N62="gaz",Q62*'Założenia,wskaźniki, listy'!$C$5,IF(N62="drewno",Q62*'Założenia,wskaźniki, listy'!$C$6,IF(N62="pelet",Q62*'Założenia,wskaźniki, listy'!$C$7,IF(N62="olej opałowy",Q62*'Założenia,wskaźniki, listy'!$C$8,IF(N62="sieć ciepłownicza",Q62*'Założenia,wskaźniki, listy'!$C$9,IF(N62="sieć ciepłownicza",Q62*'Założenia,wskaźniki, listy'!$C$10,0)))))))</f>
        <v>0</v>
      </c>
      <c r="AJ62" s="640">
        <f>S62*'Założenia,wskaźniki, listy'!$B$64*1000</f>
        <v>0</v>
      </c>
      <c r="AK62" s="640">
        <f>(H62+I62)*'Założenia,wskaźniki, listy'!$D$64*12</f>
        <v>0</v>
      </c>
      <c r="AL62" s="640">
        <f>AK62*'Założenia,wskaźniki, listy'!$F$64</f>
        <v>0</v>
      </c>
      <c r="AM62" s="639">
        <f t="shared" si="95"/>
        <v>1.44E-2</v>
      </c>
      <c r="AN62" s="639">
        <f t="shared" si="96"/>
        <v>1.41E-2</v>
      </c>
      <c r="AO62" s="639">
        <f>V62+AC62+S62*'Założenia,wskaźniki, listy'!$J$46</f>
        <v>0</v>
      </c>
      <c r="AP62" s="639">
        <f t="shared" si="97"/>
        <v>3.6300000000000004E-6</v>
      </c>
      <c r="AQ62" s="639">
        <f t="shared" si="98"/>
        <v>3.3E-4</v>
      </c>
      <c r="AR62" s="639">
        <f t="shared" si="99"/>
        <v>2.4000000000000002E-3</v>
      </c>
      <c r="AS62" s="639">
        <f t="shared" si="100"/>
        <v>5.3819999999999996E-3</v>
      </c>
      <c r="AT62" s="647"/>
      <c r="AU62" s="647"/>
      <c r="AV62" s="624">
        <f t="shared" si="1"/>
        <v>0</v>
      </c>
      <c r="AW62" s="624" t="b">
        <f t="shared" si="2"/>
        <v>0</v>
      </c>
      <c r="AX62" s="624" t="b">
        <f t="shared" si="3"/>
        <v>0</v>
      </c>
      <c r="AY62" s="624" t="b">
        <f t="shared" si="4"/>
        <v>0</v>
      </c>
      <c r="AZ62" s="624" t="b">
        <f t="shared" si="5"/>
        <v>0</v>
      </c>
      <c r="BA62" s="624" t="b">
        <f t="shared" si="6"/>
        <v>0</v>
      </c>
      <c r="BB62" s="624" t="b">
        <f t="shared" si="7"/>
        <v>0</v>
      </c>
      <c r="BC62" s="624" t="b">
        <f t="shared" si="8"/>
        <v>0</v>
      </c>
      <c r="BD62" s="624" t="b">
        <f t="shared" si="9"/>
        <v>0</v>
      </c>
      <c r="BE62" s="624" t="b">
        <f t="shared" si="10"/>
        <v>0</v>
      </c>
      <c r="BF62" s="624" t="b">
        <f t="shared" si="11"/>
        <v>0</v>
      </c>
      <c r="BG62" s="624" t="b">
        <f t="shared" si="12"/>
        <v>0</v>
      </c>
      <c r="BH62" s="624">
        <f t="shared" si="13"/>
        <v>30</v>
      </c>
      <c r="BI62" s="624" t="b">
        <f t="shared" si="14"/>
        <v>0</v>
      </c>
      <c r="BJ62" s="624" t="b">
        <f t="shared" si="15"/>
        <v>0</v>
      </c>
      <c r="BK62" s="624" t="b">
        <f t="shared" si="16"/>
        <v>0</v>
      </c>
      <c r="BL62" s="624" t="b">
        <f t="shared" si="17"/>
        <v>0</v>
      </c>
      <c r="BM62" s="624" t="b">
        <f t="shared" si="18"/>
        <v>0</v>
      </c>
      <c r="BN62" s="624" t="b">
        <f t="shared" si="19"/>
        <v>0</v>
      </c>
      <c r="BO62" s="624" t="b">
        <f t="shared" si="20"/>
        <v>0</v>
      </c>
      <c r="BP62" s="624" t="b">
        <f t="shared" si="21"/>
        <v>0</v>
      </c>
      <c r="BQ62" s="624" t="b">
        <f t="shared" si="22"/>
        <v>0</v>
      </c>
    </row>
    <row r="63" spans="1:69">
      <c r="A63" s="1089">
        <v>30</v>
      </c>
      <c r="B63" s="644" t="s">
        <v>21</v>
      </c>
      <c r="C63" s="873" t="s">
        <v>621</v>
      </c>
      <c r="D63" s="645" t="s">
        <v>628</v>
      </c>
      <c r="E63" s="645" t="s">
        <v>630</v>
      </c>
      <c r="F63" s="644">
        <v>1996</v>
      </c>
      <c r="G63" s="644">
        <v>200</v>
      </c>
      <c r="H63" s="644"/>
      <c r="I63" s="635"/>
      <c r="J63" s="644">
        <f>IF(F63&lt;=1966,'Założenia,wskaźniki, listy'!$H$4,IF(F63&gt;1966,IF(F63&lt;=1985,'Założenia,wskaźniki, listy'!$H$5,IF(F63&gt;1985,IF(F63&lt;=1992,'Założenia,wskaźniki, listy'!$H$6,IF(F63&gt;1992,IF(F63&lt;=1996,'Założenia,wskaźniki, listy'!$H$7,IF(F63&gt;1996,IF(F63&lt;=2015,'Założenia,wskaźniki, listy'!$H$8)))))))))</f>
        <v>130</v>
      </c>
      <c r="K63" s="864" t="s">
        <v>32</v>
      </c>
      <c r="L63" s="872" t="s">
        <v>8</v>
      </c>
      <c r="M63" s="872">
        <v>2.5</v>
      </c>
      <c r="N63" s="644"/>
      <c r="O63" s="637">
        <f t="shared" si="23"/>
        <v>56.342500000000001</v>
      </c>
      <c r="P63" s="646">
        <f>IF(K63="kompletna",J63*G63*0.0036*'Założenia,wskaźniki, listy'!$P$9,IF(K63="częściowa",J63*G63*0.0036*'Założenia,wskaźniki, listy'!$P$10,IF(K63="brak",J63*G63*0.0036*'Założenia,wskaźniki, listy'!$P$11,0)))</f>
        <v>56.16</v>
      </c>
      <c r="Q63" s="638">
        <f>H63*'Założenia,wskaźniki, listy'!$L$15</f>
        <v>0</v>
      </c>
      <c r="R63" s="635">
        <f>IF(L63="węgiel",'Mieszkalne - baza'!M63*'Założenia,wskaźniki, listy'!$B$4,IF(L63="gaz",'Mieszkalne - baza'!M63*'Założenia,wskaźniki, listy'!$B$5,IF(L63="drewno",'Mieszkalne - baza'!M63*'Założenia,wskaźniki, listy'!$B$6,IF(L63="pelet",'Mieszkalne - baza'!M63*'Założenia,wskaźniki, listy'!$B$7,IF(L63="olej opałowy",'Mieszkalne - baza'!M63*'Założenia,wskaźniki, listy'!$B$8,IF(L63="sieć ciepłownicza",0,0))))))</f>
        <v>56.524999999999999</v>
      </c>
      <c r="S63" s="1084">
        <v>1.8048000000000002</v>
      </c>
      <c r="T63" s="639">
        <f>IF(L63="węgiel",R63*'Założenia,wskaźniki, listy'!$C$44,IF(L63="gaz",R63*'Założenia,wskaźniki, listy'!$D$44,IF(L63="drewno",R63*'Założenia,wskaźniki, listy'!$E$44,IF(L63="pelet",R63*'Założenia,wskaźniki, listy'!$F$44,IF(L63="olej opałowy",R63*'Założenia,wskaźniki, listy'!$G$44,IF(L63="sieć ciepłownicza",0,IF(L63="prąd",0,0)))))))</f>
        <v>1.2718124999999999E-2</v>
      </c>
      <c r="U63" s="639">
        <f>IF(L63="węgiel",R63*'Założenia,wskaźniki, listy'!$C$45,IF(L63="gaz",R63*'Założenia,wskaźniki, listy'!$D$45,IF(L63="drewno",R63*'Założenia,wskaźniki, listy'!$E$45,IF(L63="pelet",R63*'Założenia,wskaźniki, listy'!$F$45,IF(L63="olej opałowy",R63*'Założenia,wskaźniki, listy'!$G$45,IF(L63="sieć ciepłownicza",0,IF(L63="prąd",0,0)))))))</f>
        <v>1.1361525000000001E-2</v>
      </c>
      <c r="V63" s="639">
        <f>IF(L63="węgiel",R63*'Założenia,wskaźniki, listy'!$C$46,IF(L63="gaz",R63*'Założenia,wskaźniki, listy'!$D$46,IF(L63="drewno",R63*'Założenia,wskaźniki, listy'!$E$46,IF(L63="pelet",R63*'Założenia,wskaźniki, listy'!$F$46,IF(L63="olej opałowy",R63*'Założenia,wskaźniki, listy'!$G$46,IF(L63="sieć ciepłownicza",R63*'Założenia,wskaźniki, listy'!$H$46,IF(L63="prąd",R63*'Założenia,wskaźniki, listy'!$I$46,0)))))))</f>
        <v>5.2986534999999995</v>
      </c>
      <c r="W63" s="639">
        <f>IF(L63="węgiel",R63*'Założenia,wskaźniki, listy'!$C$47,IF(L63="gaz",R63*'Założenia,wskaźniki, listy'!$D$47,IF(L63="drewno",R63*'Założenia,wskaźniki, listy'!$E$47,IF(L63="pelet",R63*'Założenia,wskaźniki, listy'!$F$47,IF(L63="olej opałowy",R63*'Założenia,wskaźniki, listy'!$G$47,IF(L63="sieć ciepłownicza",0,IF(L63="prąd",0,0)))))))</f>
        <v>1.526175E-5</v>
      </c>
      <c r="X63" s="639">
        <f>IF(L63="węgiel",R63*'Założenia,wskaźniki, listy'!$C$48, IF(L63="gaz",R63*'Założenia,wskaźniki, listy'!$D$48,IF(L63="drewno",R63*'Założenia,wskaźniki, listy'!$E$48,IF(L63="pelet",R63*'Założenia,wskaźniki, listy'!$F$48,IF(L63="olej opałowy",R63*'Założenia,wskaźniki, listy'!$G$48,IF(L63="sieć ciepłownicza",0,IF(L63="prąd",0,0)))))))</f>
        <v>5.0872499999999994E-2</v>
      </c>
      <c r="Y63" s="639">
        <f>IF(L63="węgiel",R63*'Założenia,wskaźniki, listy'!$C$49, IF(L63="gaz",R63*'Założenia,wskaźniki, listy'!$D$49, IF(L63="drewno",R63*'Założenia,wskaźniki, listy'!$E$49,IF(L63="pelet",R63*'Założenia,wskaźniki, listy'!$F$49,IF(L63="olej opałowy",R63*'Założenia,wskaźniki, listy'!$G$49,IF(L63="sieć ciepłownicza",0,IF(L63="prąd",0,0)))))))</f>
        <v>8.93095E-3</v>
      </c>
      <c r="Z63" s="639">
        <f>IF(L63="węgiel",R63*'Założenia,wskaźniki, listy'!$C$50,IF(L63="gaz",R63*'Założenia,wskaźniki, listy'!$D$50, IF(L63="drewno",R63*'Założenia,wskaźniki, listy'!$E$50,IF(L63="pelet",R63*'Założenia,wskaźniki, listy'!$F$50,IF(L63="pelet",R63*'Założenia,wskaźniki, listy'!$F$50,IF(L63="olej opałowy",R63*'Założenia,wskaźniki, listy'!$G$50,IF(L63="sieć ciepłownicza",0,IF(L63="prąd",0,0))))))))</f>
        <v>0.11370697362539113</v>
      </c>
      <c r="AA63" s="639">
        <f>IF(N63="węgiel",Q63*'Założenia,wskaźniki, listy'!$C$44,IF(N63="gaz",Q63*'Założenia,wskaźniki, listy'!$D$44,IF(N63="drewno",Q63*'Założenia,wskaźniki, listy'!$E$44,IF(N63="pelet",Q63*'Założenia,wskaźniki, listy'!$G$44,IF(N63="olej opałowy",Q63*'Założenia,wskaźniki, listy'!$G$44,IF(N63="sieć ciepłownicza",0,IF(N63="prąd",0,0)))))))</f>
        <v>0</v>
      </c>
      <c r="AB63" s="639">
        <f>IF(N63="węgiel",Q63*'Założenia,wskaźniki, listy'!$C$45,IF(N63="gaz",Q63*'Założenia,wskaźniki, listy'!$D$45,IF(N63="drewno",Q63*'Założenia,wskaźniki, listy'!$E$45,IF(N63="pelet",Q63*'Założenia,wskaźniki, listy'!$G$45,IF(N63="olej opałowy",Q63*'Założenia,wskaźniki, listy'!$G$45,IF(N63="sieć ciepłownicza",0,IF(N63="prąd",0,0)))))))</f>
        <v>0</v>
      </c>
      <c r="AC63" s="639">
        <f>IF(N63="węgiel",Q63*'Założenia,wskaźniki, listy'!$C$46,IF(N63="gaz",Q63*'Założenia,wskaźniki, listy'!$D$46,IF(N63="drewno",Q63*'Założenia,wskaźniki, listy'!$E$46,IF(N63="pelet",Q63*'Założenia,wskaźniki, listy'!$G$46,IF(N63="olej opałowy",Q63*'Założenia,wskaźniki, listy'!$G$46,IF(N63="sieć ciepłownicza",0,IF(N63="prąd",0,0)))))))</f>
        <v>0</v>
      </c>
      <c r="AD63" s="639">
        <f>IF(N63="węgiel",Q63*'Założenia,wskaźniki, listy'!$C$47,IF(N63="gaz",Q63*'Założenia,wskaźniki, listy'!$D$47,IF(N63="drewno",Q63*'Założenia,wskaźniki, listy'!$E$47,IF(N63="pelet",Q63*'Założenia,wskaźniki, listy'!$G$47,IF(N63="olej opałowy",Q63*'Założenia,wskaźniki, listy'!$G$47,IF(N63="sieć ciepłownicza",0,IF(N63="prąd",0,0)))))))</f>
        <v>0</v>
      </c>
      <c r="AE63" s="639">
        <f>IF(N63="węgiel",Q63*'Założenia,wskaźniki, listy'!$C$48,IF(N63="gaz",Q63*'Założenia,wskaźniki, listy'!$D$48,IF(N63="drewno",Q63*'Założenia,wskaźniki, listy'!$E$48,IF(N63="pelet",Q63*'Założenia,wskaźniki, listy'!$G$48,IF(N63="olej opałowy",Q63*'Założenia,wskaźniki, listy'!$G$48,IF(N63="sieć ciepłownicza",0,IF(N63="prąd",0,0)))))))</f>
        <v>0</v>
      </c>
      <c r="AF63" s="639">
        <f>IF(N63="węgiel",Q63*'Założenia,wskaźniki, listy'!$C$49,IF(N63="gaz",Q63*'Założenia,wskaźniki, listy'!$D$49,IF(N63="drewno",Q63*'Założenia,wskaźniki, listy'!$E$49,IF(N63="pelet",Q63*'Założenia,wskaźniki, listy'!$G$49,IF(N63="olej opałowy",Q63*'Założenia,wskaźniki, listy'!$G$49,IF(N63="sieć ciepłownicza",0,IF(N63="prąd",0,0)))))))</f>
        <v>0</v>
      </c>
      <c r="AG63" s="639">
        <f>IF(N63="węgiel",Q63*'Założenia,wskaźniki, listy'!$C$50,IF(N63="gaz",Q63*'Założenia,wskaźniki, listy'!$D$50,IF(N63="drewno",Q63*'Założenia,wskaźniki, listy'!$E$50,IF(N63="pelet",Q63*'Założenia,wskaźniki, listy'!$G$50,IF(N63="olej opałowy",Q63*'Założenia,wskaźniki, listy'!$G$50,IF(N63="sieć ciepłownicza",0,IF(N63="prąd",0,0)))))))</f>
        <v>0</v>
      </c>
      <c r="AH63" s="640">
        <f>IF(L63="węgiel",(P63+R63)/2*'Założenia,wskaźniki, listy'!$C$4,IF(L63="gaz",(P63+R63)/2*'Założenia,wskaźniki, listy'!$C$5,IF(L63="drewno",(P63+R63)/2*'Założenia,wskaźniki, listy'!$C$6,IF(L63="pelet",(P63+R63)/2*'Założenia,wskaźniki, listy'!$C$7,IF(L63="olej opałowy",(P63+R63)/2*'Założenia,wskaźniki, listy'!$C$8,IF(L63="sieć ciepłownicza",(P63+R63)/2*'Założenia,wskaźniki, listy'!$C$9,IF(L63="sieć ciepłownicza",(P63+R63)/2*'Założenia,wskaźniki, listy'!$C$10,)))))))</f>
        <v>2310.0425</v>
      </c>
      <c r="AI63" s="640">
        <f>IF(N63="węgiel",Q63*'Założenia,wskaźniki, listy'!$C$4,IF(N63="gaz",Q63*'Założenia,wskaźniki, listy'!$C$5,IF(N63="drewno",Q63*'Założenia,wskaźniki, listy'!$C$6,IF(N63="pelet",Q63*'Założenia,wskaźniki, listy'!$C$7,IF(N63="olej opałowy",Q63*'Założenia,wskaźniki, listy'!$C$8,IF(N63="sieć ciepłownicza",Q63*'Założenia,wskaźniki, listy'!$C$9,IF(N63="sieć ciepłownicza",Q63*'Założenia,wskaźniki, listy'!$C$10,0)))))))</f>
        <v>0</v>
      </c>
      <c r="AJ63" s="640">
        <f>S63*'Założenia,wskaźniki, listy'!$B$64*1000</f>
        <v>1281.4080000000001</v>
      </c>
      <c r="AK63" s="640">
        <f>(H63+I63)*'Założenia,wskaźniki, listy'!$D$64*12</f>
        <v>0</v>
      </c>
      <c r="AL63" s="640">
        <f>AK63*'Założenia,wskaźniki, listy'!$F$64</f>
        <v>0</v>
      </c>
      <c r="AM63" s="639">
        <f t="shared" ref="AM63:AM119" si="128">T63+AA63</f>
        <v>1.2718124999999999E-2</v>
      </c>
      <c r="AN63" s="639">
        <f t="shared" ref="AN63:AN119" si="129">U63+AB63</f>
        <v>1.1361525000000001E-2</v>
      </c>
      <c r="AO63" s="639">
        <f>V63+AC63+S63*'Założenia,wskaźniki, listy'!$J$46</f>
        <v>6.7993446999999998</v>
      </c>
      <c r="AP63" s="639">
        <f t="shared" ref="AP63:AP119" si="130">W63+AD63</f>
        <v>1.526175E-5</v>
      </c>
      <c r="AQ63" s="639">
        <f t="shared" ref="AQ63:AQ119" si="131">X63+AE63</f>
        <v>5.0872499999999994E-2</v>
      </c>
      <c r="AR63" s="639">
        <f t="shared" ref="AR63:AR119" si="132">Y63+AF63</f>
        <v>8.93095E-3</v>
      </c>
      <c r="AS63" s="639">
        <f t="shared" ref="AS63:AS119" si="133">Z63+AG63</f>
        <v>0.11370697362539113</v>
      </c>
      <c r="AT63" s="647"/>
      <c r="AU63" s="647"/>
      <c r="AV63" s="624" t="b">
        <f t="shared" si="1"/>
        <v>0</v>
      </c>
      <c r="AW63" s="624" t="b">
        <f t="shared" si="2"/>
        <v>0</v>
      </c>
      <c r="AX63" s="624" t="b">
        <f t="shared" si="3"/>
        <v>0</v>
      </c>
      <c r="AY63" s="624" t="b">
        <f t="shared" si="4"/>
        <v>0</v>
      </c>
      <c r="AZ63" s="624" t="b">
        <f t="shared" si="5"/>
        <v>0</v>
      </c>
      <c r="BA63" s="624" t="b">
        <f t="shared" si="6"/>
        <v>0</v>
      </c>
      <c r="BB63" s="624">
        <f t="shared" si="7"/>
        <v>200</v>
      </c>
      <c r="BC63" s="624">
        <f t="shared" si="8"/>
        <v>200</v>
      </c>
      <c r="BD63" s="624" t="b">
        <f t="shared" si="9"/>
        <v>0</v>
      </c>
      <c r="BE63" s="624" t="b">
        <f t="shared" si="10"/>
        <v>0</v>
      </c>
      <c r="BF63" s="624">
        <f t="shared" si="11"/>
        <v>56.524999999999999</v>
      </c>
      <c r="BG63" s="624" t="b">
        <f t="shared" si="12"/>
        <v>0</v>
      </c>
      <c r="BH63" s="624" t="b">
        <f t="shared" si="13"/>
        <v>0</v>
      </c>
      <c r="BI63" s="624" t="b">
        <f t="shared" si="14"/>
        <v>0</v>
      </c>
      <c r="BJ63" s="624" t="b">
        <f t="shared" si="15"/>
        <v>0</v>
      </c>
      <c r="BK63" s="624" t="b">
        <f t="shared" si="16"/>
        <v>0</v>
      </c>
      <c r="BL63" s="624" t="b">
        <f t="shared" si="17"/>
        <v>0</v>
      </c>
      <c r="BM63" s="624" t="b">
        <f t="shared" si="18"/>
        <v>0</v>
      </c>
      <c r="BN63" s="624" t="b">
        <f t="shared" si="19"/>
        <v>0</v>
      </c>
      <c r="BO63" s="624" t="b">
        <f t="shared" si="20"/>
        <v>0</v>
      </c>
      <c r="BP63" s="624" t="b">
        <f t="shared" si="21"/>
        <v>0</v>
      </c>
      <c r="BQ63" s="624" t="b">
        <f t="shared" si="22"/>
        <v>0</v>
      </c>
    </row>
    <row r="64" spans="1:69">
      <c r="A64" s="1093"/>
      <c r="B64" s="644"/>
      <c r="C64" s="872"/>
      <c r="D64" s="645"/>
      <c r="E64" s="645"/>
      <c r="F64" s="644"/>
      <c r="G64" s="644"/>
      <c r="H64" s="644"/>
      <c r="I64" s="635"/>
      <c r="J64" s="644">
        <f>IF(F64&lt;=1966,'Założenia,wskaźniki, listy'!$H$4,IF(F64&gt;1966,IF(F64&lt;=1985,'Założenia,wskaźniki, listy'!$H$5,IF(F64&gt;1985,IF(F64&lt;=1992,'Założenia,wskaźniki, listy'!$H$6,IF(F64&gt;1992,IF(F64&lt;=1996,'Założenia,wskaźniki, listy'!$H$7,IF(F64&gt;1996,IF(F64&lt;=2015,'Założenia,wskaźniki, listy'!$H$8)))))))))</f>
        <v>290</v>
      </c>
      <c r="K64" s="864"/>
      <c r="L64" s="872" t="s">
        <v>79</v>
      </c>
      <c r="M64" s="872">
        <v>0</v>
      </c>
      <c r="N64" s="644"/>
      <c r="O64" s="637">
        <f t="shared" si="23"/>
        <v>0</v>
      </c>
      <c r="P64" s="646">
        <f>IF(K64="kompletna",J64*G64*0.0036*'Założenia,wskaźniki, listy'!$P$9,IF(K64="częściowa",J64*G64*0.0036*'Założenia,wskaźniki, listy'!$P$10,IF(K64="brak",J64*G64*0.0036*'Założenia,wskaźniki, listy'!$P$11,0)))</f>
        <v>0</v>
      </c>
      <c r="Q64" s="638">
        <f>H64*'Założenia,wskaźniki, listy'!$L$15</f>
        <v>0</v>
      </c>
      <c r="R64" s="635">
        <f>IF(L64="węgiel",'Mieszkalne - baza'!M64*'Założenia,wskaźniki, listy'!$B$4,IF(L64="gaz",'Mieszkalne - baza'!M64*'Założenia,wskaźniki, listy'!$B$5,IF(L64="drewno",'Mieszkalne - baza'!M64*'Założenia,wskaźniki, listy'!$B$6,IF(L64="pelet",'Mieszkalne - baza'!M64*'Założenia,wskaźniki, listy'!$B$7,IF(L64="olej opałowy",'Mieszkalne - baza'!M64*'Założenia,wskaźniki, listy'!$B$8,IF(L64="sieć ciepłownicza",0,0))))))</f>
        <v>0</v>
      </c>
      <c r="S64" s="1085"/>
      <c r="T64" s="639">
        <f>IF(L64="węgiel",R64*'Założenia,wskaźniki, listy'!$C$44,IF(L64="gaz",R64*'Założenia,wskaźniki, listy'!$D$44,IF(L64="drewno",R64*'Założenia,wskaźniki, listy'!$E$44,IF(L64="pelet",R64*'Założenia,wskaźniki, listy'!$F$44,IF(L64="olej opałowy",R64*'Założenia,wskaźniki, listy'!$G$44,IF(L64="sieć ciepłownicza",0,IF(L64="prąd",0,0)))))))</f>
        <v>0</v>
      </c>
      <c r="U64" s="639">
        <f>IF(L64="węgiel",R64*'Założenia,wskaźniki, listy'!$C$45,IF(L64="gaz",R64*'Założenia,wskaźniki, listy'!$D$45,IF(L64="drewno",R64*'Założenia,wskaźniki, listy'!$E$45,IF(L64="pelet",R64*'Założenia,wskaźniki, listy'!$F$45,IF(L64="olej opałowy",R64*'Założenia,wskaźniki, listy'!$G$45,IF(L64="sieć ciepłownicza",0,IF(L64="prąd",0,0)))))))</f>
        <v>0</v>
      </c>
      <c r="V64" s="639">
        <f>IF(L64="węgiel",R64*'Założenia,wskaźniki, listy'!$C$46,IF(L64="gaz",R64*'Założenia,wskaźniki, listy'!$D$46,IF(L64="drewno",R64*'Założenia,wskaźniki, listy'!$E$46,IF(L64="pelet",R64*'Założenia,wskaźniki, listy'!$F$46,IF(L64="olej opałowy",R64*'Założenia,wskaźniki, listy'!$G$46,IF(L64="sieć ciepłownicza",R64*'Założenia,wskaźniki, listy'!$H$46,IF(L64="prąd",R64*'Założenia,wskaźniki, listy'!$I$46,0)))))))</f>
        <v>0</v>
      </c>
      <c r="W64" s="639">
        <f>IF(L64="węgiel",R64*'Założenia,wskaźniki, listy'!$C$47,IF(L64="gaz",R64*'Założenia,wskaźniki, listy'!$D$47,IF(L64="drewno",R64*'Założenia,wskaźniki, listy'!$E$47,IF(L64="pelet",R64*'Założenia,wskaźniki, listy'!$F$47,IF(L64="olej opałowy",R64*'Założenia,wskaźniki, listy'!$G$47,IF(L64="sieć ciepłownicza",0,IF(L64="prąd",0,0)))))))</f>
        <v>0</v>
      </c>
      <c r="X64" s="639">
        <f>IF(L64="węgiel",R64*'Założenia,wskaźniki, listy'!$C$48, IF(L64="gaz",R64*'Założenia,wskaźniki, listy'!$D$48,IF(L64="drewno",R64*'Założenia,wskaźniki, listy'!$E$48,IF(L64="pelet",R64*'Założenia,wskaźniki, listy'!$F$48,IF(L64="olej opałowy",R64*'Założenia,wskaźniki, listy'!$G$48,IF(L64="sieć ciepłownicza",0,IF(L64="prąd",0,0)))))))</f>
        <v>0</v>
      </c>
      <c r="Y64" s="639">
        <f>IF(L64="węgiel",R64*'Założenia,wskaźniki, listy'!$C$49, IF(L64="gaz",R64*'Założenia,wskaźniki, listy'!$D$49, IF(L64="drewno",R64*'Założenia,wskaźniki, listy'!$E$49,IF(L64="pelet",R64*'Założenia,wskaźniki, listy'!$F$49,IF(L64="olej opałowy",R64*'Założenia,wskaźniki, listy'!$G$49,IF(L64="sieć ciepłownicza",0,IF(L64="prąd",0,0)))))))</f>
        <v>0</v>
      </c>
      <c r="Z64" s="639">
        <f>IF(L64="węgiel",R64*'Założenia,wskaźniki, listy'!$C$50,IF(L64="gaz",R64*'Założenia,wskaźniki, listy'!$D$50, IF(L64="drewno",R64*'Założenia,wskaźniki, listy'!$E$50,IF(L64="pelet",R64*'Założenia,wskaźniki, listy'!$F$50,IF(L64="pelet",R64*'Założenia,wskaźniki, listy'!$F$50,IF(L64="olej opałowy",R64*'Założenia,wskaźniki, listy'!$G$50,IF(L64="sieć ciepłownicza",0,IF(L64="prąd",0,0))))))))</f>
        <v>0</v>
      </c>
      <c r="AA64" s="639">
        <f>IF(N64="węgiel",Q64*'Założenia,wskaźniki, listy'!$C$44,IF(N64="gaz",Q64*'Założenia,wskaźniki, listy'!$D$44,IF(N64="drewno",Q64*'Założenia,wskaźniki, listy'!$E$44,IF(N64="pelet",Q64*'Założenia,wskaźniki, listy'!$G$44,IF(N64="olej opałowy",Q64*'Założenia,wskaźniki, listy'!$G$44,IF(N64="sieć ciepłownicza",0,IF(N64="prąd",0,0)))))))</f>
        <v>0</v>
      </c>
      <c r="AB64" s="639">
        <f>IF(N64="węgiel",Q64*'Założenia,wskaźniki, listy'!$C$45,IF(N64="gaz",Q64*'Założenia,wskaźniki, listy'!$D$45,IF(N64="drewno",Q64*'Założenia,wskaźniki, listy'!$E$45,IF(N64="pelet",Q64*'Założenia,wskaźniki, listy'!$G$45,IF(N64="olej opałowy",Q64*'Założenia,wskaźniki, listy'!$G$45,IF(N64="sieć ciepłownicza",0,IF(N64="prąd",0,0)))))))</f>
        <v>0</v>
      </c>
      <c r="AC64" s="639">
        <f>IF(N64="węgiel",Q64*'Założenia,wskaźniki, listy'!$C$46,IF(N64="gaz",Q64*'Założenia,wskaźniki, listy'!$D$46,IF(N64="drewno",Q64*'Założenia,wskaźniki, listy'!$E$46,IF(N64="pelet",Q64*'Założenia,wskaźniki, listy'!$G$46,IF(N64="olej opałowy",Q64*'Założenia,wskaźniki, listy'!$G$46,IF(N64="sieć ciepłownicza",0,IF(N64="prąd",0,0)))))))</f>
        <v>0</v>
      </c>
      <c r="AD64" s="639">
        <f>IF(N64="węgiel",Q64*'Założenia,wskaźniki, listy'!$C$47,IF(N64="gaz",Q64*'Założenia,wskaźniki, listy'!$D$47,IF(N64="drewno",Q64*'Założenia,wskaźniki, listy'!$E$47,IF(N64="pelet",Q64*'Założenia,wskaźniki, listy'!$G$47,IF(N64="olej opałowy",Q64*'Założenia,wskaźniki, listy'!$G$47,IF(N64="sieć ciepłownicza",0,IF(N64="prąd",0,0)))))))</f>
        <v>0</v>
      </c>
      <c r="AE64" s="639">
        <f>IF(N64="węgiel",Q64*'Założenia,wskaźniki, listy'!$C$48,IF(N64="gaz",Q64*'Założenia,wskaźniki, listy'!$D$48,IF(N64="drewno",Q64*'Założenia,wskaźniki, listy'!$E$48,IF(N64="pelet",Q64*'Założenia,wskaźniki, listy'!$G$48,IF(N64="olej opałowy",Q64*'Założenia,wskaźniki, listy'!$G$48,IF(N64="sieć ciepłownicza",0,IF(N64="prąd",0,0)))))))</f>
        <v>0</v>
      </c>
      <c r="AF64" s="639">
        <f>IF(N64="węgiel",Q64*'Założenia,wskaźniki, listy'!$C$49,IF(N64="gaz",Q64*'Założenia,wskaźniki, listy'!$D$49,IF(N64="drewno",Q64*'Założenia,wskaźniki, listy'!$E$49,IF(N64="pelet",Q64*'Założenia,wskaźniki, listy'!$G$49,IF(N64="olej opałowy",Q64*'Założenia,wskaźniki, listy'!$G$49,IF(N64="sieć ciepłownicza",0,IF(N64="prąd",0,0)))))))</f>
        <v>0</v>
      </c>
      <c r="AG64" s="639">
        <f>IF(N64="węgiel",Q64*'Założenia,wskaźniki, listy'!$C$50,IF(N64="gaz",Q64*'Założenia,wskaźniki, listy'!$D$50,IF(N64="drewno",Q64*'Założenia,wskaźniki, listy'!$E$50,IF(N64="pelet",Q64*'Założenia,wskaźniki, listy'!$G$50,IF(N64="olej opałowy",Q64*'Założenia,wskaźniki, listy'!$G$50,IF(N64="sieć ciepłownicza",0,IF(N64="prąd",0,0)))))))</f>
        <v>0</v>
      </c>
      <c r="AH64" s="640">
        <f>IF(L64="węgiel",(P64+R64)/2*'Założenia,wskaźniki, listy'!$C$4,IF(L64="gaz",(P64+R64)/2*'Założenia,wskaźniki, listy'!$C$5,IF(L64="drewno",(P64+R64)/2*'Założenia,wskaźniki, listy'!$C$6,IF(L64="pelet",(P64+R64)/2*'Założenia,wskaźniki, listy'!$C$7,IF(L64="olej opałowy",(P64+R64)/2*'Założenia,wskaźniki, listy'!$C$8,IF(L64="sieć ciepłownicza",(P64+R64)/2*'Założenia,wskaźniki, listy'!$C$9,IF(L64="sieć ciepłownicza",(P64+R64)/2*'Założenia,wskaźniki, listy'!$C$10,)))))))</f>
        <v>0</v>
      </c>
      <c r="AI64" s="640">
        <f>IF(N64="węgiel",Q64*'Założenia,wskaźniki, listy'!$C$4,IF(N64="gaz",Q64*'Założenia,wskaźniki, listy'!$C$5,IF(N64="drewno",Q64*'Założenia,wskaźniki, listy'!$C$6,IF(N64="pelet",Q64*'Założenia,wskaźniki, listy'!$C$7,IF(N64="olej opałowy",Q64*'Założenia,wskaźniki, listy'!$C$8,IF(N64="sieć ciepłownicza",Q64*'Założenia,wskaźniki, listy'!$C$9,IF(N64="sieć ciepłownicza",Q64*'Założenia,wskaźniki, listy'!$C$10,0)))))))</f>
        <v>0</v>
      </c>
      <c r="AJ64" s="640">
        <f>S64*'Założenia,wskaźniki, listy'!$B$64*1000</f>
        <v>0</v>
      </c>
      <c r="AK64" s="640">
        <f>(H64+I64)*'Założenia,wskaźniki, listy'!$D$64*12</f>
        <v>0</v>
      </c>
      <c r="AL64" s="640">
        <f>AK64*'Założenia,wskaźniki, listy'!$F$64</f>
        <v>0</v>
      </c>
      <c r="AM64" s="639">
        <f t="shared" si="128"/>
        <v>0</v>
      </c>
      <c r="AN64" s="639">
        <f t="shared" si="129"/>
        <v>0</v>
      </c>
      <c r="AO64" s="639">
        <f>V64+AC64+S64*'Założenia,wskaźniki, listy'!$J$46</f>
        <v>0</v>
      </c>
      <c r="AP64" s="639">
        <f t="shared" si="130"/>
        <v>0</v>
      </c>
      <c r="AQ64" s="639">
        <f t="shared" si="131"/>
        <v>0</v>
      </c>
      <c r="AR64" s="639">
        <f t="shared" si="132"/>
        <v>0</v>
      </c>
      <c r="AS64" s="639">
        <f t="shared" si="133"/>
        <v>0</v>
      </c>
      <c r="AT64" s="647"/>
      <c r="AU64" s="647"/>
      <c r="AV64" s="624">
        <f t="shared" si="1"/>
        <v>0</v>
      </c>
      <c r="AW64" s="624" t="b">
        <f t="shared" si="2"/>
        <v>0</v>
      </c>
      <c r="AX64" s="624" t="b">
        <f t="shared" si="3"/>
        <v>0</v>
      </c>
      <c r="AY64" s="624" t="b">
        <f t="shared" si="4"/>
        <v>0</v>
      </c>
      <c r="AZ64" s="624" t="b">
        <f t="shared" si="5"/>
        <v>0</v>
      </c>
      <c r="BA64" s="624" t="b">
        <f t="shared" si="6"/>
        <v>0</v>
      </c>
      <c r="BB64" s="624" t="b">
        <f t="shared" si="7"/>
        <v>0</v>
      </c>
      <c r="BC64" s="624" t="b">
        <f t="shared" si="8"/>
        <v>0</v>
      </c>
      <c r="BD64" s="624" t="b">
        <f t="shared" si="9"/>
        <v>0</v>
      </c>
      <c r="BE64" s="624" t="b">
        <f t="shared" si="10"/>
        <v>0</v>
      </c>
      <c r="BF64" s="624" t="b">
        <f t="shared" si="11"/>
        <v>0</v>
      </c>
      <c r="BG64" s="624" t="b">
        <f t="shared" si="12"/>
        <v>0</v>
      </c>
      <c r="BH64" s="624">
        <f t="shared" si="13"/>
        <v>0</v>
      </c>
      <c r="BI64" s="624" t="b">
        <f t="shared" si="14"/>
        <v>0</v>
      </c>
      <c r="BJ64" s="624" t="b">
        <f t="shared" si="15"/>
        <v>0</v>
      </c>
      <c r="BK64" s="624" t="b">
        <f t="shared" si="16"/>
        <v>0</v>
      </c>
      <c r="BL64" s="624" t="b">
        <f t="shared" si="17"/>
        <v>0</v>
      </c>
      <c r="BM64" s="624" t="b">
        <f t="shared" si="18"/>
        <v>0</v>
      </c>
      <c r="BN64" s="624" t="b">
        <f t="shared" si="19"/>
        <v>0</v>
      </c>
      <c r="BO64" s="624" t="b">
        <f t="shared" si="20"/>
        <v>0</v>
      </c>
      <c r="BP64" s="624" t="b">
        <f t="shared" si="21"/>
        <v>0</v>
      </c>
      <c r="BQ64" s="624" t="b">
        <f t="shared" si="22"/>
        <v>0</v>
      </c>
    </row>
    <row r="65" spans="1:69" ht="9.75" customHeight="1">
      <c r="A65" s="1086">
        <v>31</v>
      </c>
      <c r="B65" s="872" t="s">
        <v>21</v>
      </c>
      <c r="C65" s="873" t="s">
        <v>621</v>
      </c>
      <c r="D65" s="645" t="s">
        <v>628</v>
      </c>
      <c r="E65" s="645" t="s">
        <v>631</v>
      </c>
      <c r="F65" s="644">
        <v>1978</v>
      </c>
      <c r="G65" s="644">
        <v>220</v>
      </c>
      <c r="H65" s="644"/>
      <c r="I65" s="635"/>
      <c r="J65" s="644">
        <f>IF(F65&lt;=1966,'Założenia,wskaźniki, listy'!$H$4,IF(F65&gt;1966,IF(F65&lt;=1985,'Założenia,wskaźniki, listy'!$H$5,IF(F65&gt;1985,IF(F65&lt;=1992,'Założenia,wskaźniki, listy'!$H$6,IF(F65&gt;1992,IF(F65&lt;=1996,'Założenia,wskaźniki, listy'!$H$7,IF(F65&gt;1996,IF(F65&lt;=2015,'Założenia,wskaźniki, listy'!$H$8)))))))))</f>
        <v>250</v>
      </c>
      <c r="K65" s="864" t="s">
        <v>33</v>
      </c>
      <c r="L65" s="644" t="s">
        <v>8</v>
      </c>
      <c r="M65" s="644">
        <v>5</v>
      </c>
      <c r="N65" s="644"/>
      <c r="O65" s="637">
        <f t="shared" si="23"/>
        <v>135.72499999999999</v>
      </c>
      <c r="P65" s="646">
        <f>IF(K65="kompletna",J65*G65*0.0036*'Założenia,wskaźniki, listy'!$P$9,IF(K65="częściowa",J65*G65*0.0036*'Założenia,wskaźniki, listy'!$P$10,IF(K65="brak",J65*G65*0.0036*'Założenia,wskaźniki, listy'!$P$11,0)))</f>
        <v>158.4</v>
      </c>
      <c r="Q65" s="638">
        <f>H65*'Założenia,wskaźniki, listy'!$L$15</f>
        <v>0</v>
      </c>
      <c r="R65" s="635">
        <f>IF(L65="węgiel",'Mieszkalne - baza'!M65*'Założenia,wskaźniki, listy'!$B$4,IF(L65="gaz",'Mieszkalne - baza'!M65*'Założenia,wskaźniki, listy'!$B$5,IF(L65="drewno",'Mieszkalne - baza'!M65*'Założenia,wskaźniki, listy'!$B$6,IF(L65="pelet",'Mieszkalne - baza'!M65*'Założenia,wskaźniki, listy'!$B$7,IF(L65="olej opałowy",'Mieszkalne - baza'!M65*'Założenia,wskaźniki, listy'!$B$8,IF(L65="sieć ciepłownicza",0,0))))))</f>
        <v>113.05</v>
      </c>
      <c r="S65" s="1084">
        <v>1.6355999999999999</v>
      </c>
      <c r="T65" s="639">
        <f>IF(L65="węgiel",R65*'Założenia,wskaźniki, listy'!$C$44,IF(L65="gaz",R65*'Założenia,wskaźniki, listy'!$D$44,IF(L65="drewno",R65*'Założenia,wskaźniki, listy'!$E$44,IF(L65="pelet",R65*'Założenia,wskaźniki, listy'!$F$44,IF(L65="olej opałowy",R65*'Założenia,wskaźniki, listy'!$G$44,IF(L65="sieć ciepłownicza",0,IF(L65="prąd",0,0)))))))</f>
        <v>2.5436249999999997E-2</v>
      </c>
      <c r="U65" s="639">
        <f>IF(L65="węgiel",R65*'Założenia,wskaźniki, listy'!$C$45,IF(L65="gaz",R65*'Założenia,wskaźniki, listy'!$D$45,IF(L65="drewno",R65*'Założenia,wskaźniki, listy'!$E$45,IF(L65="pelet",R65*'Założenia,wskaźniki, listy'!$F$45,IF(L65="olej opałowy",R65*'Założenia,wskaźniki, listy'!$G$45,IF(L65="sieć ciepłownicza",0,IF(L65="prąd",0,0)))))))</f>
        <v>2.2723050000000002E-2</v>
      </c>
      <c r="V65" s="639">
        <f>IF(L65="węgiel",R65*'Założenia,wskaźniki, listy'!$C$46,IF(L65="gaz",R65*'Założenia,wskaźniki, listy'!$D$46,IF(L65="drewno",R65*'Założenia,wskaźniki, listy'!$E$46,IF(L65="pelet",R65*'Założenia,wskaźniki, listy'!$F$46,IF(L65="olej opałowy",R65*'Założenia,wskaźniki, listy'!$G$46,IF(L65="sieć ciepłownicza",R65*'Założenia,wskaźniki, listy'!$H$46,IF(L65="prąd",R65*'Założenia,wskaźniki, listy'!$I$46,0)))))))</f>
        <v>10.597306999999999</v>
      </c>
      <c r="W65" s="639">
        <f>IF(L65="węgiel",R65*'Założenia,wskaźniki, listy'!$C$47,IF(L65="gaz",R65*'Założenia,wskaźniki, listy'!$D$47,IF(L65="drewno",R65*'Założenia,wskaźniki, listy'!$E$47,IF(L65="pelet",R65*'Założenia,wskaźniki, listy'!$F$47,IF(L65="olej opałowy",R65*'Założenia,wskaźniki, listy'!$G$47,IF(L65="sieć ciepłownicza",0,IF(L65="prąd",0,0)))))))</f>
        <v>3.05235E-5</v>
      </c>
      <c r="X65" s="639">
        <f>IF(L65="węgiel",R65*'Założenia,wskaźniki, listy'!$C$48, IF(L65="gaz",R65*'Założenia,wskaźniki, listy'!$D$48,IF(L65="drewno",R65*'Założenia,wskaźniki, listy'!$E$48,IF(L65="pelet",R65*'Założenia,wskaźniki, listy'!$F$48,IF(L65="olej opałowy",R65*'Założenia,wskaźniki, listy'!$G$48,IF(L65="sieć ciepłownicza",0,IF(L65="prąd",0,0)))))))</f>
        <v>0.10174499999999999</v>
      </c>
      <c r="Y65" s="639">
        <f>IF(L65="węgiel",R65*'Założenia,wskaźniki, listy'!$C$49, IF(L65="gaz",R65*'Założenia,wskaźniki, listy'!$D$49, IF(L65="drewno",R65*'Założenia,wskaźniki, listy'!$E$49,IF(L65="pelet",R65*'Założenia,wskaźniki, listy'!$F$49,IF(L65="olej opałowy",R65*'Założenia,wskaźniki, listy'!$G$49,IF(L65="sieć ciepłownicza",0,IF(L65="prąd",0,0)))))))</f>
        <v>1.78619E-2</v>
      </c>
      <c r="Z65" s="639">
        <f>IF(L65="węgiel",R65*'Założenia,wskaźniki, listy'!$C$50,IF(L65="gaz",R65*'Założenia,wskaźniki, listy'!$D$50, IF(L65="drewno",R65*'Założenia,wskaźniki, listy'!$E$50,IF(L65="pelet",R65*'Założenia,wskaźniki, listy'!$F$50,IF(L65="pelet",R65*'Założenia,wskaźniki, listy'!$F$50,IF(L65="olej opałowy",R65*'Założenia,wskaźniki, listy'!$G$50,IF(L65="sieć ciepłownicza",0,IF(L65="prąd",0,0))))))))</f>
        <v>0.22741394725078226</v>
      </c>
      <c r="AA65" s="639">
        <f>IF(N65="węgiel",Q65*'Założenia,wskaźniki, listy'!$C$44,IF(N65="gaz",Q65*'Założenia,wskaźniki, listy'!$D$44,IF(N65="drewno",Q65*'Założenia,wskaźniki, listy'!$E$44,IF(N65="pelet",Q65*'Założenia,wskaźniki, listy'!$G$44,IF(N65="olej opałowy",Q65*'Założenia,wskaźniki, listy'!$G$44,IF(N65="sieć ciepłownicza",0,IF(N65="prąd",0,0)))))))</f>
        <v>0</v>
      </c>
      <c r="AB65" s="639">
        <f>IF(N65="węgiel",Q65*'Założenia,wskaźniki, listy'!$C$45,IF(N65="gaz",Q65*'Założenia,wskaźniki, listy'!$D$45,IF(N65="drewno",Q65*'Założenia,wskaźniki, listy'!$E$45,IF(N65="pelet",Q65*'Założenia,wskaźniki, listy'!$G$45,IF(N65="olej opałowy",Q65*'Założenia,wskaźniki, listy'!$G$45,IF(N65="sieć ciepłownicza",0,IF(N65="prąd",0,0)))))))</f>
        <v>0</v>
      </c>
      <c r="AC65" s="639">
        <f>IF(N65="węgiel",Q65*'Założenia,wskaźniki, listy'!$C$46,IF(N65="gaz",Q65*'Założenia,wskaźniki, listy'!$D$46,IF(N65="drewno",Q65*'Założenia,wskaźniki, listy'!$E$46,IF(N65="pelet",Q65*'Założenia,wskaźniki, listy'!$G$46,IF(N65="olej opałowy",Q65*'Założenia,wskaźniki, listy'!$G$46,IF(N65="sieć ciepłownicza",0,IF(N65="prąd",0,0)))))))</f>
        <v>0</v>
      </c>
      <c r="AD65" s="639">
        <f>IF(N65="węgiel",Q65*'Założenia,wskaźniki, listy'!$C$47,IF(N65="gaz",Q65*'Założenia,wskaźniki, listy'!$D$47,IF(N65="drewno",Q65*'Założenia,wskaźniki, listy'!$E$47,IF(N65="pelet",Q65*'Założenia,wskaźniki, listy'!$G$47,IF(N65="olej opałowy",Q65*'Założenia,wskaźniki, listy'!$G$47,IF(N65="sieć ciepłownicza",0,IF(N65="prąd",0,0)))))))</f>
        <v>0</v>
      </c>
      <c r="AE65" s="639">
        <f>IF(N65="węgiel",Q65*'Założenia,wskaźniki, listy'!$C$48,IF(N65="gaz",Q65*'Założenia,wskaźniki, listy'!$D$48,IF(N65="drewno",Q65*'Założenia,wskaźniki, listy'!$E$48,IF(N65="pelet",Q65*'Założenia,wskaźniki, listy'!$G$48,IF(N65="olej opałowy",Q65*'Założenia,wskaźniki, listy'!$G$48,IF(N65="sieć ciepłownicza",0,IF(N65="prąd",0,0)))))))</f>
        <v>0</v>
      </c>
      <c r="AF65" s="639">
        <f>IF(N65="węgiel",Q65*'Założenia,wskaźniki, listy'!$C$49,IF(N65="gaz",Q65*'Założenia,wskaźniki, listy'!$D$49,IF(N65="drewno",Q65*'Założenia,wskaźniki, listy'!$E$49,IF(N65="pelet",Q65*'Założenia,wskaźniki, listy'!$G$49,IF(N65="olej opałowy",Q65*'Założenia,wskaźniki, listy'!$G$49,IF(N65="sieć ciepłownicza",0,IF(N65="prąd",0,0)))))))</f>
        <v>0</v>
      </c>
      <c r="AG65" s="639">
        <f>IF(N65="węgiel",Q65*'Założenia,wskaźniki, listy'!$C$50,IF(N65="gaz",Q65*'Założenia,wskaźniki, listy'!$D$50,IF(N65="drewno",Q65*'Założenia,wskaźniki, listy'!$E$50,IF(N65="pelet",Q65*'Założenia,wskaźniki, listy'!$G$50,IF(N65="olej opałowy",Q65*'Założenia,wskaźniki, listy'!$G$50,IF(N65="sieć ciepłownicza",0,IF(N65="prąd",0,0)))))))</f>
        <v>0</v>
      </c>
      <c r="AH65" s="640">
        <f>IF(L65="węgiel",(P65+R65)/2*'Założenia,wskaźniki, listy'!$C$4,IF(L65="gaz",(P65+R65)/2*'Założenia,wskaźniki, listy'!$C$5,IF(L65="drewno",(P65+R65)/2*'Założenia,wskaźniki, listy'!$C$6,IF(L65="pelet",(P65+R65)/2*'Założenia,wskaźniki, listy'!$C$7,IF(L65="olej opałowy",(P65+R65)/2*'Założenia,wskaźniki, listy'!$C$8,IF(L65="sieć ciepłownicza",(P65+R65)/2*'Założenia,wskaźniki, listy'!$C$9,IF(L65="sieć ciepłownicza",(P65+R65)/2*'Założenia,wskaźniki, listy'!$C$10,)))))))</f>
        <v>5564.7249999999995</v>
      </c>
      <c r="AI65" s="640">
        <f>IF(N65="węgiel",Q65*'Założenia,wskaźniki, listy'!$C$4,IF(N65="gaz",Q65*'Założenia,wskaźniki, listy'!$C$5,IF(N65="drewno",Q65*'Założenia,wskaźniki, listy'!$C$6,IF(N65="pelet",Q65*'Założenia,wskaźniki, listy'!$C$7,IF(N65="olej opałowy",Q65*'Założenia,wskaźniki, listy'!$C$8,IF(N65="sieć ciepłownicza",Q65*'Założenia,wskaźniki, listy'!$C$9,IF(N65="sieć ciepłownicza",Q65*'Założenia,wskaźniki, listy'!$C$10,0)))))))</f>
        <v>0</v>
      </c>
      <c r="AJ65" s="640">
        <f>S65*'Założenia,wskaźniki, listy'!$B$64*1000</f>
        <v>1161.2760000000001</v>
      </c>
      <c r="AK65" s="640">
        <f>(H65+I65)*'Założenia,wskaźniki, listy'!$D$64*12</f>
        <v>0</v>
      </c>
      <c r="AL65" s="640">
        <f>AK65*'Założenia,wskaźniki, listy'!$F$64</f>
        <v>0</v>
      </c>
      <c r="AM65" s="639">
        <f t="shared" si="128"/>
        <v>2.5436249999999997E-2</v>
      </c>
      <c r="AN65" s="639">
        <f t="shared" si="129"/>
        <v>2.2723050000000002E-2</v>
      </c>
      <c r="AO65" s="639">
        <f>V65+AC65+S65*'Założenia,wskaźniki, listy'!$J$46</f>
        <v>11.957308399999999</v>
      </c>
      <c r="AP65" s="639">
        <f t="shared" si="130"/>
        <v>3.05235E-5</v>
      </c>
      <c r="AQ65" s="639">
        <f t="shared" si="131"/>
        <v>0.10174499999999999</v>
      </c>
      <c r="AR65" s="639">
        <f t="shared" si="132"/>
        <v>1.78619E-2</v>
      </c>
      <c r="AS65" s="639">
        <f t="shared" si="133"/>
        <v>0.22741394725078226</v>
      </c>
      <c r="AT65" s="647"/>
      <c r="AU65" s="647"/>
      <c r="AV65" s="624" t="b">
        <f t="shared" si="1"/>
        <v>0</v>
      </c>
      <c r="AW65" s="624">
        <f t="shared" si="2"/>
        <v>0</v>
      </c>
      <c r="AX65" s="624">
        <f t="shared" si="3"/>
        <v>220</v>
      </c>
      <c r="AY65" s="624">
        <f t="shared" si="4"/>
        <v>110</v>
      </c>
      <c r="AZ65" s="624" t="b">
        <f t="shared" si="5"/>
        <v>0</v>
      </c>
      <c r="BA65" s="624">
        <f t="shared" si="6"/>
        <v>0</v>
      </c>
      <c r="BB65" s="624" t="b">
        <f t="shared" si="7"/>
        <v>0</v>
      </c>
      <c r="BC65" s="624">
        <f t="shared" si="8"/>
        <v>0</v>
      </c>
      <c r="BD65" s="624" t="b">
        <f t="shared" si="9"/>
        <v>0</v>
      </c>
      <c r="BE65" s="624">
        <f t="shared" si="10"/>
        <v>0</v>
      </c>
      <c r="BF65" s="624">
        <f t="shared" si="11"/>
        <v>113.05</v>
      </c>
      <c r="BG65" s="624" t="b">
        <f t="shared" si="12"/>
        <v>0</v>
      </c>
      <c r="BH65" s="624" t="b">
        <f t="shared" si="13"/>
        <v>0</v>
      </c>
      <c r="BI65" s="624" t="b">
        <f t="shared" si="14"/>
        <v>0</v>
      </c>
      <c r="BJ65" s="624" t="b">
        <f t="shared" si="15"/>
        <v>0</v>
      </c>
      <c r="BK65" s="624" t="b">
        <f t="shared" si="16"/>
        <v>0</v>
      </c>
      <c r="BL65" s="624" t="b">
        <f t="shared" si="17"/>
        <v>0</v>
      </c>
      <c r="BM65" s="624" t="b">
        <f t="shared" si="18"/>
        <v>0</v>
      </c>
      <c r="BN65" s="624" t="b">
        <f t="shared" si="19"/>
        <v>0</v>
      </c>
      <c r="BO65" s="624" t="b">
        <f t="shared" si="20"/>
        <v>0</v>
      </c>
      <c r="BP65" s="624" t="b">
        <f t="shared" si="21"/>
        <v>0</v>
      </c>
      <c r="BQ65" s="624" t="b">
        <f t="shared" si="22"/>
        <v>0</v>
      </c>
    </row>
    <row r="66" spans="1:69" ht="8.25" customHeight="1">
      <c r="A66" s="1088"/>
      <c r="B66" s="872"/>
      <c r="C66" s="872"/>
      <c r="D66" s="645"/>
      <c r="E66" s="645"/>
      <c r="F66" s="644"/>
      <c r="G66" s="644"/>
      <c r="H66" s="644"/>
      <c r="I66" s="635"/>
      <c r="J66" s="644">
        <f>IF(F66&lt;=1966,'Założenia,wskaźniki, listy'!$H$4,IF(F66&gt;1966,IF(F66&lt;=1985,'Założenia,wskaźniki, listy'!$H$5,IF(F66&gt;1985,IF(F66&lt;=1992,'Założenia,wskaźniki, listy'!$H$6,IF(F66&gt;1992,IF(F66&lt;=1996,'Założenia,wskaźniki, listy'!$H$7,IF(F66&gt;1996,IF(F66&lt;=2015,'Założenia,wskaźniki, listy'!$H$8)))))))))</f>
        <v>290</v>
      </c>
      <c r="K66" s="864"/>
      <c r="L66" s="644" t="s">
        <v>79</v>
      </c>
      <c r="M66" s="644">
        <v>2</v>
      </c>
      <c r="N66" s="644"/>
      <c r="O66" s="637">
        <f t="shared" si="23"/>
        <v>30</v>
      </c>
      <c r="P66" s="646">
        <f>IF(K66="kompletna",J66*G66*0.0036*'Założenia,wskaźniki, listy'!$P$9,IF(K66="częściowa",J66*G66*0.0036*'Założenia,wskaźniki, listy'!$P$10,IF(K66="brak",J66*G66*0.0036*'Założenia,wskaźniki, listy'!$P$11,0)))</f>
        <v>0</v>
      </c>
      <c r="Q66" s="638">
        <f>H66*'Założenia,wskaźniki, listy'!$L$15</f>
        <v>0</v>
      </c>
      <c r="R66" s="635">
        <f>IF(L66="węgiel",'Mieszkalne - baza'!M66*'Założenia,wskaźniki, listy'!$B$4,IF(L66="gaz",'Mieszkalne - baza'!M66*'Założenia,wskaźniki, listy'!$B$5,IF(L66="drewno",'Mieszkalne - baza'!M66*'Założenia,wskaźniki, listy'!$B$6,IF(L66="pelet",'Mieszkalne - baza'!M66*'Założenia,wskaźniki, listy'!$B$7,IF(L66="olej opałowy",'Mieszkalne - baza'!M66*'Założenia,wskaźniki, listy'!$B$8,IF(L66="sieć ciepłownicza",0,0))))))</f>
        <v>30</v>
      </c>
      <c r="S66" s="1085"/>
      <c r="T66" s="639">
        <f>IF(L66="węgiel",R66*'Założenia,wskaźniki, listy'!$C$44,IF(L66="gaz",R66*'Założenia,wskaźniki, listy'!$D$44,IF(L66="drewno",R66*'Założenia,wskaźniki, listy'!$E$44,IF(L66="pelet",R66*'Założenia,wskaźniki, listy'!$F$44,IF(L66="olej opałowy",R66*'Założenia,wskaźniki, listy'!$G$44,IF(L66="sieć ciepłownicza",0,IF(L66="prąd",0,0)))))))</f>
        <v>1.44E-2</v>
      </c>
      <c r="U66" s="639">
        <f>IF(L66="węgiel",R66*'Założenia,wskaźniki, listy'!$C$45,IF(L66="gaz",R66*'Założenia,wskaźniki, listy'!$D$45,IF(L66="drewno",R66*'Założenia,wskaźniki, listy'!$E$45,IF(L66="pelet",R66*'Założenia,wskaźniki, listy'!$F$45,IF(L66="olej opałowy",R66*'Założenia,wskaźniki, listy'!$G$45,IF(L66="sieć ciepłownicza",0,IF(L66="prąd",0,0)))))))</f>
        <v>1.41E-2</v>
      </c>
      <c r="V66" s="639">
        <f>IF(L66="węgiel",R66*'Założenia,wskaźniki, listy'!$C$46,IF(L66="gaz",R66*'Założenia,wskaźniki, listy'!$D$46,IF(L66="drewno",R66*'Założenia,wskaźniki, listy'!$E$46,IF(L66="pelet",R66*'Założenia,wskaźniki, listy'!$F$46,IF(L66="olej opałowy",R66*'Założenia,wskaźniki, listy'!$G$46,IF(L66="sieć ciepłownicza",R66*'Założenia,wskaźniki, listy'!$H$46,IF(L66="prąd",R66*'Założenia,wskaźniki, listy'!$I$46,0)))))))</f>
        <v>0</v>
      </c>
      <c r="W66" s="639">
        <f>IF(L66="węgiel",R66*'Założenia,wskaźniki, listy'!$C$47,IF(L66="gaz",R66*'Założenia,wskaźniki, listy'!$D$47,IF(L66="drewno",R66*'Założenia,wskaźniki, listy'!$E$47,IF(L66="pelet",R66*'Założenia,wskaźniki, listy'!$F$47,IF(L66="olej opałowy",R66*'Założenia,wskaźniki, listy'!$G$47,IF(L66="sieć ciepłownicza",0,IF(L66="prąd",0,0)))))))</f>
        <v>3.6300000000000004E-6</v>
      </c>
      <c r="X66" s="639">
        <f>IF(L66="węgiel",R66*'Założenia,wskaźniki, listy'!$C$48, IF(L66="gaz",R66*'Założenia,wskaźniki, listy'!$D$48,IF(L66="drewno",R66*'Założenia,wskaźniki, listy'!$E$48,IF(L66="pelet",R66*'Założenia,wskaźniki, listy'!$F$48,IF(L66="olej opałowy",R66*'Założenia,wskaźniki, listy'!$G$48,IF(L66="sieć ciepłownicza",0,IF(L66="prąd",0,0)))))))</f>
        <v>3.3E-4</v>
      </c>
      <c r="Y66" s="639">
        <f>IF(L66="węgiel",R66*'Założenia,wskaźniki, listy'!$C$49, IF(L66="gaz",R66*'Założenia,wskaźniki, listy'!$D$49, IF(L66="drewno",R66*'Założenia,wskaźniki, listy'!$E$49,IF(L66="pelet",R66*'Założenia,wskaźniki, listy'!$F$49,IF(L66="olej opałowy",R66*'Założenia,wskaźniki, listy'!$G$49,IF(L66="sieć ciepłownicza",0,IF(L66="prąd",0,0)))))))</f>
        <v>2.4000000000000002E-3</v>
      </c>
      <c r="Z66" s="639">
        <f>IF(L66="węgiel",R66*'Założenia,wskaźniki, listy'!$C$50,IF(L66="gaz",R66*'Założenia,wskaźniki, listy'!$D$50, IF(L66="drewno",R66*'Założenia,wskaźniki, listy'!$E$50,IF(L66="pelet",R66*'Założenia,wskaźniki, listy'!$F$50,IF(L66="pelet",R66*'Założenia,wskaźniki, listy'!$F$50,IF(L66="olej opałowy",R66*'Założenia,wskaźniki, listy'!$G$50,IF(L66="sieć ciepłownicza",0,IF(L66="prąd",0,0))))))))</f>
        <v>5.3819999999999996E-3</v>
      </c>
      <c r="AA66" s="639">
        <f>IF(N66="węgiel",Q66*'Założenia,wskaźniki, listy'!$C$44,IF(N66="gaz",Q66*'Założenia,wskaźniki, listy'!$D$44,IF(N66="drewno",Q66*'Założenia,wskaźniki, listy'!$E$44,IF(N66="pelet",Q66*'Założenia,wskaźniki, listy'!$G$44,IF(N66="olej opałowy",Q66*'Założenia,wskaźniki, listy'!$G$44,IF(N66="sieć ciepłownicza",0,IF(N66="prąd",0,0)))))))</f>
        <v>0</v>
      </c>
      <c r="AB66" s="639">
        <f>IF(N66="węgiel",Q66*'Założenia,wskaźniki, listy'!$C$45,IF(N66="gaz",Q66*'Założenia,wskaźniki, listy'!$D$45,IF(N66="drewno",Q66*'Założenia,wskaźniki, listy'!$E$45,IF(N66="pelet",Q66*'Założenia,wskaźniki, listy'!$G$45,IF(N66="olej opałowy",Q66*'Założenia,wskaźniki, listy'!$G$45,IF(N66="sieć ciepłownicza",0,IF(N66="prąd",0,0)))))))</f>
        <v>0</v>
      </c>
      <c r="AC66" s="639">
        <f>IF(N66="węgiel",Q66*'Założenia,wskaźniki, listy'!$C$46,IF(N66="gaz",Q66*'Założenia,wskaźniki, listy'!$D$46,IF(N66="drewno",Q66*'Założenia,wskaźniki, listy'!$E$46,IF(N66="pelet",Q66*'Założenia,wskaźniki, listy'!$G$46,IF(N66="olej opałowy",Q66*'Założenia,wskaźniki, listy'!$G$46,IF(N66="sieć ciepłownicza",0,IF(N66="prąd",0,0)))))))</f>
        <v>0</v>
      </c>
      <c r="AD66" s="639">
        <f>IF(N66="węgiel",Q66*'Założenia,wskaźniki, listy'!$C$47,IF(N66="gaz",Q66*'Założenia,wskaźniki, listy'!$D$47,IF(N66="drewno",Q66*'Założenia,wskaźniki, listy'!$E$47,IF(N66="pelet",Q66*'Założenia,wskaźniki, listy'!$G$47,IF(N66="olej opałowy",Q66*'Założenia,wskaźniki, listy'!$G$47,IF(N66="sieć ciepłownicza",0,IF(N66="prąd",0,0)))))))</f>
        <v>0</v>
      </c>
      <c r="AE66" s="639">
        <f>IF(N66="węgiel",Q66*'Założenia,wskaźniki, listy'!$C$48,IF(N66="gaz",Q66*'Założenia,wskaźniki, listy'!$D$48,IF(N66="drewno",Q66*'Założenia,wskaźniki, listy'!$E$48,IF(N66="pelet",Q66*'Założenia,wskaźniki, listy'!$G$48,IF(N66="olej opałowy",Q66*'Założenia,wskaźniki, listy'!$G$48,IF(N66="sieć ciepłownicza",0,IF(N66="prąd",0,0)))))))</f>
        <v>0</v>
      </c>
      <c r="AF66" s="639">
        <f>IF(N66="węgiel",Q66*'Założenia,wskaźniki, listy'!$C$49,IF(N66="gaz",Q66*'Założenia,wskaźniki, listy'!$D$49,IF(N66="drewno",Q66*'Założenia,wskaźniki, listy'!$E$49,IF(N66="pelet",Q66*'Założenia,wskaźniki, listy'!$G$49,IF(N66="olej opałowy",Q66*'Założenia,wskaźniki, listy'!$G$49,IF(N66="sieć ciepłownicza",0,IF(N66="prąd",0,0)))))))</f>
        <v>0</v>
      </c>
      <c r="AG66" s="639">
        <f>IF(N66="węgiel",Q66*'Założenia,wskaźniki, listy'!$C$50,IF(N66="gaz",Q66*'Założenia,wskaźniki, listy'!$D$50,IF(N66="drewno",Q66*'Założenia,wskaźniki, listy'!$E$50,IF(N66="pelet",Q66*'Założenia,wskaźniki, listy'!$G$50,IF(N66="olej opałowy",Q66*'Założenia,wskaźniki, listy'!$G$50,IF(N66="sieć ciepłownicza",0,IF(N66="prąd",0,0)))))))</f>
        <v>0</v>
      </c>
      <c r="AH66" s="640">
        <f>IF(L66="węgiel",(P66+R66)/2*'Założenia,wskaźniki, listy'!$C$4,IF(L66="gaz",(P66+R66)/2*'Założenia,wskaźniki, listy'!$C$5,IF(L66="drewno",(P66+R66)/2*'Założenia,wskaźniki, listy'!$C$6,IF(L66="pelet",(P66+R66)/2*'Założenia,wskaźniki, listy'!$C$7,IF(L66="olej opałowy",(P66+R66)/2*'Założenia,wskaźniki, listy'!$C$8,IF(L66="sieć ciepłownicza",(P66+R66)/2*'Założenia,wskaźniki, listy'!$C$9,IF(L66="sieć ciepłownicza",(P66+R66)/2*'Założenia,wskaźniki, listy'!$C$10,)))))))</f>
        <v>570</v>
      </c>
      <c r="AI66" s="640">
        <f>IF(N66="węgiel",Q66*'Założenia,wskaźniki, listy'!$C$4,IF(N66="gaz",Q66*'Założenia,wskaźniki, listy'!$C$5,IF(N66="drewno",Q66*'Założenia,wskaźniki, listy'!$C$6,IF(N66="pelet",Q66*'Założenia,wskaźniki, listy'!$C$7,IF(N66="olej opałowy",Q66*'Założenia,wskaźniki, listy'!$C$8,IF(N66="sieć ciepłownicza",Q66*'Założenia,wskaźniki, listy'!$C$9,IF(N66="sieć ciepłownicza",Q66*'Założenia,wskaźniki, listy'!$C$10,0)))))))</f>
        <v>0</v>
      </c>
      <c r="AJ66" s="640">
        <f>S66*'Założenia,wskaźniki, listy'!$B$64*1000</f>
        <v>0</v>
      </c>
      <c r="AK66" s="640">
        <f>(H66+I66)*'Założenia,wskaźniki, listy'!$D$64*12</f>
        <v>0</v>
      </c>
      <c r="AL66" s="640">
        <f>AK66*'Założenia,wskaźniki, listy'!$F$64</f>
        <v>0</v>
      </c>
      <c r="AM66" s="639">
        <f t="shared" si="128"/>
        <v>1.44E-2</v>
      </c>
      <c r="AN66" s="639">
        <f t="shared" si="129"/>
        <v>1.41E-2</v>
      </c>
      <c r="AO66" s="639">
        <f>V66+AC66+S66*'Założenia,wskaźniki, listy'!$J$46</f>
        <v>0</v>
      </c>
      <c r="AP66" s="639">
        <f t="shared" si="130"/>
        <v>3.6300000000000004E-6</v>
      </c>
      <c r="AQ66" s="639">
        <f t="shared" si="131"/>
        <v>3.3E-4</v>
      </c>
      <c r="AR66" s="639">
        <f t="shared" si="132"/>
        <v>2.4000000000000002E-3</v>
      </c>
      <c r="AS66" s="639">
        <f t="shared" si="133"/>
        <v>5.3819999999999996E-3</v>
      </c>
      <c r="AT66" s="647"/>
      <c r="AU66" s="647"/>
      <c r="AV66" s="624">
        <f t="shared" si="1"/>
        <v>0</v>
      </c>
      <c r="AW66" s="624" t="b">
        <f t="shared" si="2"/>
        <v>0</v>
      </c>
      <c r="AX66" s="624" t="b">
        <f t="shared" si="3"/>
        <v>0</v>
      </c>
      <c r="AY66" s="624" t="b">
        <f t="shared" si="4"/>
        <v>0</v>
      </c>
      <c r="AZ66" s="624" t="b">
        <f t="shared" si="5"/>
        <v>0</v>
      </c>
      <c r="BA66" s="624" t="b">
        <f t="shared" si="6"/>
        <v>0</v>
      </c>
      <c r="BB66" s="624" t="b">
        <f t="shared" si="7"/>
        <v>0</v>
      </c>
      <c r="BC66" s="624" t="b">
        <f t="shared" si="8"/>
        <v>0</v>
      </c>
      <c r="BD66" s="624" t="b">
        <f t="shared" si="9"/>
        <v>0</v>
      </c>
      <c r="BE66" s="624" t="b">
        <f t="shared" si="10"/>
        <v>0</v>
      </c>
      <c r="BF66" s="624" t="b">
        <f t="shared" si="11"/>
        <v>0</v>
      </c>
      <c r="BG66" s="624" t="b">
        <f t="shared" si="12"/>
        <v>0</v>
      </c>
      <c r="BH66" s="624">
        <f t="shared" si="13"/>
        <v>30</v>
      </c>
      <c r="BI66" s="624" t="b">
        <f t="shared" si="14"/>
        <v>0</v>
      </c>
      <c r="BJ66" s="624" t="b">
        <f t="shared" si="15"/>
        <v>0</v>
      </c>
      <c r="BK66" s="624" t="b">
        <f t="shared" si="16"/>
        <v>0</v>
      </c>
      <c r="BL66" s="624" t="b">
        <f t="shared" si="17"/>
        <v>0</v>
      </c>
      <c r="BM66" s="624" t="b">
        <f t="shared" si="18"/>
        <v>0</v>
      </c>
      <c r="BN66" s="624" t="b">
        <f t="shared" si="19"/>
        <v>0</v>
      </c>
      <c r="BO66" s="624" t="b">
        <f t="shared" si="20"/>
        <v>0</v>
      </c>
      <c r="BP66" s="624" t="b">
        <f t="shared" si="21"/>
        <v>0</v>
      </c>
      <c r="BQ66" s="624" t="b">
        <f t="shared" si="22"/>
        <v>0</v>
      </c>
    </row>
    <row r="67" spans="1:69">
      <c r="A67" s="1086">
        <v>32</v>
      </c>
      <c r="B67" s="872" t="s">
        <v>21</v>
      </c>
      <c r="C67" s="873" t="s">
        <v>621</v>
      </c>
      <c r="D67" s="645" t="s">
        <v>628</v>
      </c>
      <c r="E67" s="645" t="s">
        <v>632</v>
      </c>
      <c r="F67" s="644">
        <v>1970</v>
      </c>
      <c r="G67" s="644">
        <v>70</v>
      </c>
      <c r="H67" s="644"/>
      <c r="I67" s="635"/>
      <c r="J67" s="644">
        <f>IF(F67&lt;=1966,'Założenia,wskaźniki, listy'!$H$4,IF(F67&gt;1966,IF(F67&lt;=1985,'Założenia,wskaźniki, listy'!$H$5,IF(F67&gt;1985,IF(F67&lt;=1992,'Założenia,wskaźniki, listy'!$H$6,IF(F67&gt;1992,IF(F67&lt;=1996,'Założenia,wskaźniki, listy'!$H$7,IF(F67&gt;1996,IF(F67&lt;=2015,'Założenia,wskaźniki, listy'!$H$8)))))))))</f>
        <v>250</v>
      </c>
      <c r="K67" s="864" t="s">
        <v>31</v>
      </c>
      <c r="L67" s="644" t="s">
        <v>8</v>
      </c>
      <c r="M67" s="644">
        <v>2</v>
      </c>
      <c r="N67" s="644"/>
      <c r="O67" s="637">
        <f t="shared" ref="O67:O129" si="134">IF(P67&gt;0,(Q67+R67+P67)/2,Q67+R67)</f>
        <v>54.11</v>
      </c>
      <c r="P67" s="646">
        <f>IF(K67="kompletna",J67*G67*0.0036*'Założenia,wskaźniki, listy'!$P$9,IF(K67="częściowa",J67*G67*0.0036*'Założenia,wskaźniki, listy'!$P$10,IF(K67="brak",J67*G67*0.0036*'Założenia,wskaźniki, listy'!$P$11,0)))</f>
        <v>63</v>
      </c>
      <c r="Q67" s="638">
        <f>H67*'Założenia,wskaźniki, listy'!$L$15</f>
        <v>0</v>
      </c>
      <c r="R67" s="635">
        <f>IF(L67="węgiel",'Mieszkalne - baza'!M67*'Założenia,wskaźniki, listy'!$B$4,IF(L67="gaz",'Mieszkalne - baza'!M67*'Założenia,wskaźniki, listy'!$B$5,IF(L67="drewno",'Mieszkalne - baza'!M67*'Założenia,wskaźniki, listy'!$B$6,IF(L67="pelet",'Mieszkalne - baza'!M67*'Założenia,wskaźniki, listy'!$B$7,IF(L67="olej opałowy",'Mieszkalne - baza'!M67*'Założenia,wskaźniki, listy'!$B$8,IF(L67="sieć ciepłownicza",0,0))))))</f>
        <v>45.22</v>
      </c>
      <c r="S67" s="1084">
        <v>1.6919999999999999</v>
      </c>
      <c r="T67" s="639">
        <f>IF(L67="węgiel",R67*'Założenia,wskaźniki, listy'!$C$44,IF(L67="gaz",R67*'Założenia,wskaźniki, listy'!$D$44,IF(L67="drewno",R67*'Założenia,wskaźniki, listy'!$E$44,IF(L67="pelet",R67*'Założenia,wskaźniki, listy'!$F$44,IF(L67="olej opałowy",R67*'Założenia,wskaźniki, listy'!$G$44,IF(L67="sieć ciepłownicza",0,IF(L67="prąd",0,0)))))))</f>
        <v>1.01745E-2</v>
      </c>
      <c r="U67" s="639">
        <f>IF(L67="węgiel",R67*'Założenia,wskaźniki, listy'!$C$45,IF(L67="gaz",R67*'Założenia,wskaźniki, listy'!$D$45,IF(L67="drewno",R67*'Założenia,wskaźniki, listy'!$E$45,IF(L67="pelet",R67*'Założenia,wskaźniki, listy'!$F$45,IF(L67="olej opałowy",R67*'Założenia,wskaźniki, listy'!$G$45,IF(L67="sieć ciepłownicza",0,IF(L67="prąd",0,0)))))))</f>
        <v>9.0892200000000003E-3</v>
      </c>
      <c r="V67" s="639">
        <f>IF(L67="węgiel",R67*'Założenia,wskaźniki, listy'!$C$46,IF(L67="gaz",R67*'Założenia,wskaźniki, listy'!$D$46,IF(L67="drewno",R67*'Założenia,wskaźniki, listy'!$E$46,IF(L67="pelet",R67*'Założenia,wskaźniki, listy'!$F$46,IF(L67="olej opałowy",R67*'Założenia,wskaźniki, listy'!$G$46,IF(L67="sieć ciepłownicza",R67*'Założenia,wskaźniki, listy'!$H$46,IF(L67="prąd",R67*'Założenia,wskaźniki, listy'!$I$46,0)))))))</f>
        <v>4.2389227999999992</v>
      </c>
      <c r="W67" s="639">
        <f>IF(L67="węgiel",R67*'Założenia,wskaźniki, listy'!$C$47,IF(L67="gaz",R67*'Założenia,wskaźniki, listy'!$D$47,IF(L67="drewno",R67*'Założenia,wskaźniki, listy'!$E$47,IF(L67="pelet",R67*'Założenia,wskaźniki, listy'!$F$47,IF(L67="olej opałowy",R67*'Założenia,wskaźniki, listy'!$G$47,IF(L67="sieć ciepłownicza",0,IF(L67="prąd",0,0)))))))</f>
        <v>1.22094E-5</v>
      </c>
      <c r="X67" s="639">
        <f>IF(L67="węgiel",R67*'Założenia,wskaźniki, listy'!$C$48, IF(L67="gaz",R67*'Założenia,wskaźniki, listy'!$D$48,IF(L67="drewno",R67*'Założenia,wskaźniki, listy'!$E$48,IF(L67="pelet",R67*'Założenia,wskaźniki, listy'!$F$48,IF(L67="olej opałowy",R67*'Założenia,wskaźniki, listy'!$G$48,IF(L67="sieć ciepłownicza",0,IF(L67="prąd",0,0)))))))</f>
        <v>4.0697999999999998E-2</v>
      </c>
      <c r="Y67" s="639">
        <f>IF(L67="węgiel",R67*'Założenia,wskaźniki, listy'!$C$49, IF(L67="gaz",R67*'Założenia,wskaźniki, listy'!$D$49, IF(L67="drewno",R67*'Założenia,wskaźniki, listy'!$E$49,IF(L67="pelet",R67*'Założenia,wskaźniki, listy'!$F$49,IF(L67="olej opałowy",R67*'Założenia,wskaźniki, listy'!$G$49,IF(L67="sieć ciepłownicza",0,IF(L67="prąd",0,0)))))))</f>
        <v>7.1447599999999991E-3</v>
      </c>
      <c r="Z67" s="639">
        <f>IF(L67="węgiel",R67*'Założenia,wskaźniki, listy'!$C$50,IF(L67="gaz",R67*'Założenia,wskaźniki, listy'!$D$50, IF(L67="drewno",R67*'Założenia,wskaźniki, listy'!$E$50,IF(L67="pelet",R67*'Założenia,wskaźniki, listy'!$F$50,IF(L67="pelet",R67*'Założenia,wskaźniki, listy'!$F$50,IF(L67="olej opałowy",R67*'Założenia,wskaźniki, listy'!$G$50,IF(L67="sieć ciepłownicza",0,IF(L67="prąd",0,0))))))))</f>
        <v>9.0965578900312913E-2</v>
      </c>
      <c r="AA67" s="639">
        <f>IF(N67="węgiel",Q67*'Założenia,wskaźniki, listy'!$C$44,IF(N67="gaz",Q67*'Założenia,wskaźniki, listy'!$D$44,IF(N67="drewno",Q67*'Założenia,wskaźniki, listy'!$E$44,IF(N67="pelet",Q67*'Założenia,wskaźniki, listy'!$G$44,IF(N67="olej opałowy",Q67*'Założenia,wskaźniki, listy'!$G$44,IF(N67="sieć ciepłownicza",0,IF(N67="prąd",0,0)))))))</f>
        <v>0</v>
      </c>
      <c r="AB67" s="639">
        <f>IF(N67="węgiel",Q67*'Założenia,wskaźniki, listy'!$C$45,IF(N67="gaz",Q67*'Założenia,wskaźniki, listy'!$D$45,IF(N67="drewno",Q67*'Założenia,wskaźniki, listy'!$E$45,IF(N67="pelet",Q67*'Założenia,wskaźniki, listy'!$G$45,IF(N67="olej opałowy",Q67*'Założenia,wskaźniki, listy'!$G$45,IF(N67="sieć ciepłownicza",0,IF(N67="prąd",0,0)))))))</f>
        <v>0</v>
      </c>
      <c r="AC67" s="639">
        <f>IF(N67="węgiel",Q67*'Założenia,wskaźniki, listy'!$C$46,IF(N67="gaz",Q67*'Założenia,wskaźniki, listy'!$D$46,IF(N67="drewno",Q67*'Założenia,wskaźniki, listy'!$E$46,IF(N67="pelet",Q67*'Założenia,wskaźniki, listy'!$G$46,IF(N67="olej opałowy",Q67*'Założenia,wskaźniki, listy'!$G$46,IF(N67="sieć ciepłownicza",0,IF(N67="prąd",0,0)))))))</f>
        <v>0</v>
      </c>
      <c r="AD67" s="639">
        <f>IF(N67="węgiel",Q67*'Założenia,wskaźniki, listy'!$C$47,IF(N67="gaz",Q67*'Założenia,wskaźniki, listy'!$D$47,IF(N67="drewno",Q67*'Założenia,wskaźniki, listy'!$E$47,IF(N67="pelet",Q67*'Założenia,wskaźniki, listy'!$G$47,IF(N67="olej opałowy",Q67*'Założenia,wskaźniki, listy'!$G$47,IF(N67="sieć ciepłownicza",0,IF(N67="prąd",0,0)))))))</f>
        <v>0</v>
      </c>
      <c r="AE67" s="639">
        <f>IF(N67="węgiel",Q67*'Założenia,wskaźniki, listy'!$C$48,IF(N67="gaz",Q67*'Założenia,wskaźniki, listy'!$D$48,IF(N67="drewno",Q67*'Założenia,wskaźniki, listy'!$E$48,IF(N67="pelet",Q67*'Założenia,wskaźniki, listy'!$G$48,IF(N67="olej opałowy",Q67*'Założenia,wskaźniki, listy'!$G$48,IF(N67="sieć ciepłownicza",0,IF(N67="prąd",0,0)))))))</f>
        <v>0</v>
      </c>
      <c r="AF67" s="639">
        <f>IF(N67="węgiel",Q67*'Założenia,wskaźniki, listy'!$C$49,IF(N67="gaz",Q67*'Założenia,wskaźniki, listy'!$D$49,IF(N67="drewno",Q67*'Założenia,wskaźniki, listy'!$E$49,IF(N67="pelet",Q67*'Założenia,wskaźniki, listy'!$G$49,IF(N67="olej opałowy",Q67*'Założenia,wskaźniki, listy'!$G$49,IF(N67="sieć ciepłownicza",0,IF(N67="prąd",0,0)))))))</f>
        <v>0</v>
      </c>
      <c r="AG67" s="639">
        <f>IF(N67="węgiel",Q67*'Założenia,wskaźniki, listy'!$C$50,IF(N67="gaz",Q67*'Założenia,wskaźniki, listy'!$D$50,IF(N67="drewno",Q67*'Założenia,wskaźniki, listy'!$E$50,IF(N67="pelet",Q67*'Założenia,wskaźniki, listy'!$G$50,IF(N67="olej opałowy",Q67*'Założenia,wskaźniki, listy'!$G$50,IF(N67="sieć ciepłownicza",0,IF(N67="prąd",0,0)))))))</f>
        <v>0</v>
      </c>
      <c r="AH67" s="640">
        <f>IF(L67="węgiel",(P67+R67)/2*'Założenia,wskaźniki, listy'!$C$4,IF(L67="gaz",(P67+R67)/2*'Założenia,wskaźniki, listy'!$C$5,IF(L67="drewno",(P67+R67)/2*'Założenia,wskaźniki, listy'!$C$6,IF(L67="pelet",(P67+R67)/2*'Założenia,wskaźniki, listy'!$C$7,IF(L67="olej opałowy",(P67+R67)/2*'Założenia,wskaźniki, listy'!$C$8,IF(L67="sieć ciepłownicza",(P67+R67)/2*'Założenia,wskaźniki, listy'!$C$9,IF(L67="sieć ciepłownicza",(P67+R67)/2*'Założenia,wskaźniki, listy'!$C$10,)))))))</f>
        <v>2218.5099999999998</v>
      </c>
      <c r="AI67" s="640">
        <f>IF(N67="węgiel",Q67*'Założenia,wskaźniki, listy'!$C$4,IF(N67="gaz",Q67*'Założenia,wskaźniki, listy'!$C$5,IF(N67="drewno",Q67*'Założenia,wskaźniki, listy'!$C$6,IF(N67="pelet",Q67*'Założenia,wskaźniki, listy'!$C$7,IF(N67="olej opałowy",Q67*'Założenia,wskaźniki, listy'!$C$8,IF(N67="sieć ciepłownicza",Q67*'Założenia,wskaźniki, listy'!$C$9,IF(N67="sieć ciepłownicza",Q67*'Założenia,wskaźniki, listy'!$C$10,0)))))))</f>
        <v>0</v>
      </c>
      <c r="AJ67" s="640">
        <f>S67*'Założenia,wskaźniki, listy'!$B$64*1000</f>
        <v>1201.32</v>
      </c>
      <c r="AK67" s="640">
        <f>(H67+I67)*'Założenia,wskaźniki, listy'!$D$64*12</f>
        <v>0</v>
      </c>
      <c r="AL67" s="640">
        <f>AK67*'Założenia,wskaźniki, listy'!$F$64</f>
        <v>0</v>
      </c>
      <c r="AM67" s="639">
        <f t="shared" si="128"/>
        <v>1.01745E-2</v>
      </c>
      <c r="AN67" s="639">
        <f t="shared" si="129"/>
        <v>9.0892200000000003E-3</v>
      </c>
      <c r="AO67" s="639">
        <f>V67+AC67+S67*'Założenia,wskaźniki, listy'!$J$46</f>
        <v>5.6458207999999992</v>
      </c>
      <c r="AP67" s="639">
        <f t="shared" si="130"/>
        <v>1.22094E-5</v>
      </c>
      <c r="AQ67" s="639">
        <f t="shared" si="131"/>
        <v>4.0697999999999998E-2</v>
      </c>
      <c r="AR67" s="639">
        <f t="shared" si="132"/>
        <v>7.1447599999999991E-3</v>
      </c>
      <c r="AS67" s="639">
        <f t="shared" si="133"/>
        <v>9.0965578900312913E-2</v>
      </c>
      <c r="AT67" s="647"/>
      <c r="AU67" s="647"/>
      <c r="AV67" s="624" t="b">
        <f t="shared" si="1"/>
        <v>0</v>
      </c>
      <c r="AW67" s="624" t="b">
        <f t="shared" si="2"/>
        <v>0</v>
      </c>
      <c r="AX67" s="624">
        <f t="shared" si="3"/>
        <v>70</v>
      </c>
      <c r="AY67" s="624" t="b">
        <f t="shared" si="4"/>
        <v>0</v>
      </c>
      <c r="AZ67" s="624" t="b">
        <f t="shared" si="5"/>
        <v>0</v>
      </c>
      <c r="BA67" s="624" t="b">
        <f t="shared" si="6"/>
        <v>0</v>
      </c>
      <c r="BB67" s="624" t="b">
        <f t="shared" si="7"/>
        <v>0</v>
      </c>
      <c r="BC67" s="624" t="b">
        <f t="shared" si="8"/>
        <v>0</v>
      </c>
      <c r="BD67" s="624" t="b">
        <f t="shared" si="9"/>
        <v>0</v>
      </c>
      <c r="BE67" s="624" t="b">
        <f t="shared" si="10"/>
        <v>0</v>
      </c>
      <c r="BF67" s="624">
        <f t="shared" si="11"/>
        <v>45.22</v>
      </c>
      <c r="BG67" s="624" t="b">
        <f t="shared" si="12"/>
        <v>0</v>
      </c>
      <c r="BH67" s="624" t="b">
        <f t="shared" si="13"/>
        <v>0</v>
      </c>
      <c r="BI67" s="624" t="b">
        <f t="shared" si="14"/>
        <v>0</v>
      </c>
      <c r="BJ67" s="624" t="b">
        <f t="shared" si="15"/>
        <v>0</v>
      </c>
      <c r="BK67" s="624" t="b">
        <f t="shared" si="16"/>
        <v>0</v>
      </c>
      <c r="BL67" s="624" t="b">
        <f t="shared" si="17"/>
        <v>0</v>
      </c>
      <c r="BM67" s="624" t="b">
        <f t="shared" si="18"/>
        <v>0</v>
      </c>
      <c r="BN67" s="624" t="b">
        <f t="shared" si="19"/>
        <v>0</v>
      </c>
      <c r="BO67" s="624" t="b">
        <f t="shared" si="20"/>
        <v>0</v>
      </c>
      <c r="BP67" s="624" t="b">
        <f t="shared" si="21"/>
        <v>0</v>
      </c>
      <c r="BQ67" s="624" t="b">
        <f t="shared" si="22"/>
        <v>0</v>
      </c>
    </row>
    <row r="68" spans="1:69">
      <c r="A68" s="1087"/>
      <c r="B68" s="872"/>
      <c r="C68" s="874"/>
      <c r="D68" s="645"/>
      <c r="E68" s="645"/>
      <c r="F68" s="644"/>
      <c r="G68" s="644"/>
      <c r="H68" s="644"/>
      <c r="I68" s="635"/>
      <c r="J68" s="644">
        <f>IF(F68&lt;=1966,'Założenia,wskaźniki, listy'!$H$4,IF(F68&gt;1966,IF(F68&lt;=1985,'Założenia,wskaźniki, listy'!$H$5,IF(F68&gt;1985,IF(F68&lt;=1992,'Założenia,wskaźniki, listy'!$H$6,IF(F68&gt;1992,IF(F68&lt;=1996,'Założenia,wskaźniki, listy'!$H$7,IF(F68&gt;1996,IF(F68&lt;=2015,'Założenia,wskaźniki, listy'!$H$8)))))))))</f>
        <v>290</v>
      </c>
      <c r="K68" s="864"/>
      <c r="L68" s="644" t="s">
        <v>79</v>
      </c>
      <c r="M68" s="644">
        <v>1</v>
      </c>
      <c r="N68" s="644"/>
      <c r="O68" s="637">
        <f t="shared" si="134"/>
        <v>15</v>
      </c>
      <c r="P68" s="646">
        <f>IF(K68="kompletna",J68*G68*0.0036*'Założenia,wskaźniki, listy'!$P$9,IF(K68="częściowa",J68*G68*0.0036*'Założenia,wskaźniki, listy'!$P$10,IF(K68="brak",J68*G68*0.0036*'Założenia,wskaźniki, listy'!$P$11,0)))</f>
        <v>0</v>
      </c>
      <c r="Q68" s="638">
        <f>H68*'Założenia,wskaźniki, listy'!$L$15</f>
        <v>0</v>
      </c>
      <c r="R68" s="635">
        <f>IF(L68="węgiel",'Mieszkalne - baza'!M68*'Założenia,wskaźniki, listy'!$B$4,IF(L68="gaz",'Mieszkalne - baza'!M68*'Założenia,wskaźniki, listy'!$B$5,IF(L68="drewno",'Mieszkalne - baza'!M68*'Założenia,wskaźniki, listy'!$B$6,IF(L68="pelet",'Mieszkalne - baza'!M68*'Założenia,wskaźniki, listy'!$B$7,IF(L68="olej opałowy",'Mieszkalne - baza'!M68*'Założenia,wskaźniki, listy'!$B$8,IF(L68="sieć ciepłownicza",0,0))))))</f>
        <v>15</v>
      </c>
      <c r="S68" s="1085"/>
      <c r="T68" s="639">
        <f>IF(L68="węgiel",R68*'Założenia,wskaźniki, listy'!$C$44,IF(L68="gaz",R68*'Założenia,wskaźniki, listy'!$D$44,IF(L68="drewno",R68*'Założenia,wskaźniki, listy'!$E$44,IF(L68="pelet",R68*'Założenia,wskaźniki, listy'!$F$44,IF(L68="olej opałowy",R68*'Założenia,wskaźniki, listy'!$G$44,IF(L68="sieć ciepłownicza",0,IF(L68="prąd",0,0)))))))</f>
        <v>7.1999999999999998E-3</v>
      </c>
      <c r="U68" s="639">
        <f>IF(L68="węgiel",R68*'Założenia,wskaźniki, listy'!$C$45,IF(L68="gaz",R68*'Założenia,wskaźniki, listy'!$D$45,IF(L68="drewno",R68*'Założenia,wskaźniki, listy'!$E$45,IF(L68="pelet",R68*'Założenia,wskaźniki, listy'!$F$45,IF(L68="olej opałowy",R68*'Założenia,wskaźniki, listy'!$G$45,IF(L68="sieć ciepłownicza",0,IF(L68="prąd",0,0)))))))</f>
        <v>7.0499999999999998E-3</v>
      </c>
      <c r="V68" s="639">
        <f>IF(L68="węgiel",R68*'Założenia,wskaźniki, listy'!$C$46,IF(L68="gaz",R68*'Założenia,wskaźniki, listy'!$D$46,IF(L68="drewno",R68*'Założenia,wskaźniki, listy'!$E$46,IF(L68="pelet",R68*'Założenia,wskaźniki, listy'!$F$46,IF(L68="olej opałowy",R68*'Założenia,wskaźniki, listy'!$G$46,IF(L68="sieć ciepłownicza",R68*'Założenia,wskaźniki, listy'!$H$46,IF(L68="prąd",R68*'Założenia,wskaźniki, listy'!$I$46,0)))))))</f>
        <v>0</v>
      </c>
      <c r="W68" s="639">
        <f>IF(L68="węgiel",R68*'Założenia,wskaźniki, listy'!$C$47,IF(L68="gaz",R68*'Założenia,wskaźniki, listy'!$D$47,IF(L68="drewno",R68*'Założenia,wskaźniki, listy'!$E$47,IF(L68="pelet",R68*'Założenia,wskaźniki, listy'!$F$47,IF(L68="olej opałowy",R68*'Założenia,wskaźniki, listy'!$G$47,IF(L68="sieć ciepłownicza",0,IF(L68="prąd",0,0)))))))</f>
        <v>1.8150000000000002E-6</v>
      </c>
      <c r="X68" s="639">
        <f>IF(L68="węgiel",R68*'Założenia,wskaźniki, listy'!$C$48, IF(L68="gaz",R68*'Założenia,wskaźniki, listy'!$D$48,IF(L68="drewno",R68*'Założenia,wskaźniki, listy'!$E$48,IF(L68="pelet",R68*'Założenia,wskaźniki, listy'!$F$48,IF(L68="olej opałowy",R68*'Założenia,wskaźniki, listy'!$G$48,IF(L68="sieć ciepłownicza",0,IF(L68="prąd",0,0)))))))</f>
        <v>1.65E-4</v>
      </c>
      <c r="Y68" s="639">
        <f>IF(L68="węgiel",R68*'Założenia,wskaźniki, listy'!$C$49, IF(L68="gaz",R68*'Założenia,wskaźniki, listy'!$D$49, IF(L68="drewno",R68*'Założenia,wskaźniki, listy'!$E$49,IF(L68="pelet",R68*'Założenia,wskaźniki, listy'!$F$49,IF(L68="olej opałowy",R68*'Założenia,wskaźniki, listy'!$G$49,IF(L68="sieć ciepłownicza",0,IF(L68="prąd",0,0)))))))</f>
        <v>1.2000000000000001E-3</v>
      </c>
      <c r="Z68" s="639">
        <f>IF(L68="węgiel",R68*'Założenia,wskaźniki, listy'!$C$50,IF(L68="gaz",R68*'Założenia,wskaźniki, listy'!$D$50, IF(L68="drewno",R68*'Założenia,wskaźniki, listy'!$E$50,IF(L68="pelet",R68*'Założenia,wskaźniki, listy'!$F$50,IF(L68="pelet",R68*'Założenia,wskaźniki, listy'!$F$50,IF(L68="olej opałowy",R68*'Założenia,wskaźniki, listy'!$G$50,IF(L68="sieć ciepłownicza",0,IF(L68="prąd",0,0))))))))</f>
        <v>2.6909999999999998E-3</v>
      </c>
      <c r="AA68" s="639">
        <f>IF(N68="węgiel",Q68*'Założenia,wskaźniki, listy'!$C$44,IF(N68="gaz",Q68*'Założenia,wskaźniki, listy'!$D$44,IF(N68="drewno",Q68*'Założenia,wskaźniki, listy'!$E$44,IF(N68="pelet",Q68*'Założenia,wskaźniki, listy'!$G$44,IF(N68="olej opałowy",Q68*'Założenia,wskaźniki, listy'!$G$44,IF(N68="sieć ciepłownicza",0,IF(N68="prąd",0,0)))))))</f>
        <v>0</v>
      </c>
      <c r="AB68" s="639">
        <f>IF(N68="węgiel",Q68*'Założenia,wskaźniki, listy'!$C$45,IF(N68="gaz",Q68*'Założenia,wskaźniki, listy'!$D$45,IF(N68="drewno",Q68*'Założenia,wskaźniki, listy'!$E$45,IF(N68="pelet",Q68*'Założenia,wskaźniki, listy'!$G$45,IF(N68="olej opałowy",Q68*'Założenia,wskaźniki, listy'!$G$45,IF(N68="sieć ciepłownicza",0,IF(N68="prąd",0,0)))))))</f>
        <v>0</v>
      </c>
      <c r="AC68" s="639">
        <f>IF(N68="węgiel",Q68*'Założenia,wskaźniki, listy'!$C$46,IF(N68="gaz",Q68*'Założenia,wskaźniki, listy'!$D$46,IF(N68="drewno",Q68*'Założenia,wskaźniki, listy'!$E$46,IF(N68="pelet",Q68*'Założenia,wskaźniki, listy'!$G$46,IF(N68="olej opałowy",Q68*'Założenia,wskaźniki, listy'!$G$46,IF(N68="sieć ciepłownicza",0,IF(N68="prąd",0,0)))))))</f>
        <v>0</v>
      </c>
      <c r="AD68" s="639">
        <f>IF(N68="węgiel",Q68*'Założenia,wskaźniki, listy'!$C$47,IF(N68="gaz",Q68*'Założenia,wskaźniki, listy'!$D$47,IF(N68="drewno",Q68*'Założenia,wskaźniki, listy'!$E$47,IF(N68="pelet",Q68*'Założenia,wskaźniki, listy'!$G$47,IF(N68="olej opałowy",Q68*'Założenia,wskaźniki, listy'!$G$47,IF(N68="sieć ciepłownicza",0,IF(N68="prąd",0,0)))))))</f>
        <v>0</v>
      </c>
      <c r="AE68" s="639">
        <f>IF(N68="węgiel",Q68*'Założenia,wskaźniki, listy'!$C$48,IF(N68="gaz",Q68*'Założenia,wskaźniki, listy'!$D$48,IF(N68="drewno",Q68*'Założenia,wskaźniki, listy'!$E$48,IF(N68="pelet",Q68*'Założenia,wskaźniki, listy'!$G$48,IF(N68="olej opałowy",Q68*'Założenia,wskaźniki, listy'!$G$48,IF(N68="sieć ciepłownicza",0,IF(N68="prąd",0,0)))))))</f>
        <v>0</v>
      </c>
      <c r="AF68" s="639">
        <f>IF(N68="węgiel",Q68*'Założenia,wskaźniki, listy'!$C$49,IF(N68="gaz",Q68*'Założenia,wskaźniki, listy'!$D$49,IF(N68="drewno",Q68*'Założenia,wskaźniki, listy'!$E$49,IF(N68="pelet",Q68*'Założenia,wskaźniki, listy'!$G$49,IF(N68="olej opałowy",Q68*'Założenia,wskaźniki, listy'!$G$49,IF(N68="sieć ciepłownicza",0,IF(N68="prąd",0,0)))))))</f>
        <v>0</v>
      </c>
      <c r="AG68" s="639">
        <f>IF(N68="węgiel",Q68*'Założenia,wskaźniki, listy'!$C$50,IF(N68="gaz",Q68*'Założenia,wskaźniki, listy'!$D$50,IF(N68="drewno",Q68*'Założenia,wskaźniki, listy'!$E$50,IF(N68="pelet",Q68*'Założenia,wskaźniki, listy'!$G$50,IF(N68="olej opałowy",Q68*'Założenia,wskaźniki, listy'!$G$50,IF(N68="sieć ciepłownicza",0,IF(N68="prąd",0,0)))))))</f>
        <v>0</v>
      </c>
      <c r="AH68" s="640">
        <f>IF(L68="węgiel",(P68+R68)/2*'Założenia,wskaźniki, listy'!$C$4,IF(L68="gaz",(P68+R68)/2*'Założenia,wskaźniki, listy'!$C$5,IF(L68="drewno",(P68+R68)/2*'Założenia,wskaźniki, listy'!$C$6,IF(L68="pelet",(P68+R68)/2*'Założenia,wskaźniki, listy'!$C$7,IF(L68="olej opałowy",(P68+R68)/2*'Założenia,wskaźniki, listy'!$C$8,IF(L68="sieć ciepłownicza",(P68+R68)/2*'Założenia,wskaźniki, listy'!$C$9,IF(L68="sieć ciepłownicza",(P68+R68)/2*'Założenia,wskaźniki, listy'!$C$10,)))))))</f>
        <v>285</v>
      </c>
      <c r="AI68" s="640">
        <f>IF(N68="węgiel",Q68*'Założenia,wskaźniki, listy'!$C$4,IF(N68="gaz",Q68*'Założenia,wskaźniki, listy'!$C$5,IF(N68="drewno",Q68*'Założenia,wskaźniki, listy'!$C$6,IF(N68="pelet",Q68*'Założenia,wskaźniki, listy'!$C$7,IF(N68="olej opałowy",Q68*'Założenia,wskaźniki, listy'!$C$8,IF(N68="sieć ciepłownicza",Q68*'Założenia,wskaźniki, listy'!$C$9,IF(N68="sieć ciepłownicza",Q68*'Założenia,wskaźniki, listy'!$C$10,0)))))))</f>
        <v>0</v>
      </c>
      <c r="AJ68" s="640">
        <f>S68*'Założenia,wskaźniki, listy'!$B$64*1000</f>
        <v>0</v>
      </c>
      <c r="AK68" s="640">
        <f>(H68+I68)*'Założenia,wskaźniki, listy'!$D$64*12</f>
        <v>0</v>
      </c>
      <c r="AL68" s="640">
        <f>AK68*'Założenia,wskaźniki, listy'!$F$64</f>
        <v>0</v>
      </c>
      <c r="AM68" s="639">
        <f t="shared" si="128"/>
        <v>7.1999999999999998E-3</v>
      </c>
      <c r="AN68" s="639">
        <f t="shared" si="129"/>
        <v>7.0499999999999998E-3</v>
      </c>
      <c r="AO68" s="639">
        <f>V68+AC68+S68*'Założenia,wskaźniki, listy'!$J$46</f>
        <v>0</v>
      </c>
      <c r="AP68" s="639">
        <f t="shared" si="130"/>
        <v>1.8150000000000002E-6</v>
      </c>
      <c r="AQ68" s="639">
        <f t="shared" si="131"/>
        <v>1.65E-4</v>
      </c>
      <c r="AR68" s="639">
        <f t="shared" si="132"/>
        <v>1.2000000000000001E-3</v>
      </c>
      <c r="AS68" s="639">
        <f t="shared" si="133"/>
        <v>2.6909999999999998E-3</v>
      </c>
      <c r="AT68" s="647"/>
      <c r="AU68" s="647"/>
      <c r="AV68" s="624">
        <f t="shared" ref="AV68:AV131" si="135">IF(F68&lt;=1966,G68)</f>
        <v>0</v>
      </c>
      <c r="AW68" s="624" t="b">
        <f t="shared" ref="AW68:AW131" si="136">IF(K68="kompletna",AV68,IF(K68="częściowa",0.5*AV68))</f>
        <v>0</v>
      </c>
      <c r="AX68" s="624" t="b">
        <f t="shared" ref="AX68:AX131" si="137">IF(F68&gt;1966,IF(F68&lt;=1985,G68))</f>
        <v>0</v>
      </c>
      <c r="AY68" s="624" t="b">
        <f t="shared" ref="AY68:AY131" si="138">IF(K68="kompletna",AX68,IF(K68="częściowa",0.5*AX68))</f>
        <v>0</v>
      </c>
      <c r="AZ68" s="624" t="b">
        <f t="shared" ref="AZ68:AZ131" si="139">IF(F68&gt;1985,IF(F68&lt;=1992,G68))</f>
        <v>0</v>
      </c>
      <c r="BA68" s="624" t="b">
        <f t="shared" ref="BA68:BA131" si="140">IF(K68="kompletna",AZ68,IF(K68="częściowa",0.5*AZ68))</f>
        <v>0</v>
      </c>
      <c r="BB68" s="624" t="b">
        <f t="shared" ref="BB68:BB131" si="141">IF(F68&gt;1992,IF(F68&lt;=1996,G68))</f>
        <v>0</v>
      </c>
      <c r="BC68" s="624" t="b">
        <f t="shared" ref="BC68:BC131" si="142">IF(K68="kompletna",BB68,IF(K68="częściowa",0.5*BB68))</f>
        <v>0</v>
      </c>
      <c r="BD68" s="624" t="b">
        <f t="shared" ref="BD68:BD131" si="143">IF(F68&gt;1996,IF(F68&lt;=2014,G68))</f>
        <v>0</v>
      </c>
      <c r="BE68" s="624" t="b">
        <f t="shared" ref="BE68:BE131" si="144">IF(K68="kompletna",BD68,IF(K68="częściowa",0.5*BD68))</f>
        <v>0</v>
      </c>
      <c r="BF68" s="624" t="b">
        <f t="shared" ref="BF68:BF131" si="145">IF(L68="węgiel",R68)</f>
        <v>0</v>
      </c>
      <c r="BG68" s="624" t="b">
        <f t="shared" ref="BG68:BG131" si="146">IF(L68="gaz",R68)</f>
        <v>0</v>
      </c>
      <c r="BH68" s="624">
        <f t="shared" ref="BH68:BH131" si="147">IF(L68="drewno",R68)</f>
        <v>15</v>
      </c>
      <c r="BI68" s="624" t="b">
        <f t="shared" ref="BI68:BI131" si="148">IF(L68="pelet",R68)</f>
        <v>0</v>
      </c>
      <c r="BJ68" s="624" t="b">
        <f t="shared" ref="BJ68:BJ131" si="149">IF(L68="olej opałowy",R68)</f>
        <v>0</v>
      </c>
      <c r="BK68" s="624" t="b">
        <f t="shared" ref="BK68:BK131" si="150">IF(L68="energia el.",R68)</f>
        <v>0</v>
      </c>
      <c r="BL68" s="624" t="b">
        <f t="shared" ref="BL68:BL131" si="151">IF(N68="węgiel",Q68)</f>
        <v>0</v>
      </c>
      <c r="BM68" s="624" t="b">
        <f t="shared" ref="BM68:BM131" si="152">IF(N68="gaz",Q68)</f>
        <v>0</v>
      </c>
      <c r="BN68" s="624" t="b">
        <f t="shared" ref="BN68:BN131" si="153">IF(N68="drewno",Q68)</f>
        <v>0</v>
      </c>
      <c r="BO68" s="624" t="b">
        <f t="shared" ref="BO68:BO131" si="154">IF(N68="pelet",Q68)</f>
        <v>0</v>
      </c>
      <c r="BP68" s="624" t="b">
        <f t="shared" ref="BP68:BP131" si="155">IF(N68="olej opałowy",Q68)</f>
        <v>0</v>
      </c>
      <c r="BQ68" s="624" t="b">
        <f t="shared" ref="BQ68:BQ131" si="156">IF(N68="energia el.",Q68)</f>
        <v>0</v>
      </c>
    </row>
    <row r="69" spans="1:69">
      <c r="A69" s="1086">
        <v>33</v>
      </c>
      <c r="B69" s="872" t="s">
        <v>21</v>
      </c>
      <c r="C69" s="873" t="s">
        <v>621</v>
      </c>
      <c r="D69" s="645" t="s">
        <v>628</v>
      </c>
      <c r="E69" s="645" t="s">
        <v>633</v>
      </c>
      <c r="F69" s="644">
        <v>1994</v>
      </c>
      <c r="G69" s="644">
        <v>170</v>
      </c>
      <c r="H69" s="644"/>
      <c r="I69" s="635"/>
      <c r="J69" s="644">
        <f>IF(F69&lt;=1966,'Założenia,wskaźniki, listy'!$H$4,IF(F69&gt;1966,IF(F69&lt;=1985,'Założenia,wskaźniki, listy'!$H$5,IF(F69&gt;1985,IF(F69&lt;=1992,'Założenia,wskaźniki, listy'!$H$6,IF(F69&gt;1992,IF(F69&lt;=1996,'Założenia,wskaźniki, listy'!$H$7,IF(F69&gt;1996,IF(F69&lt;=2015,'Założenia,wskaźniki, listy'!$H$8)))))))))</f>
        <v>130</v>
      </c>
      <c r="K69" s="864" t="s">
        <v>31</v>
      </c>
      <c r="L69" s="644" t="s">
        <v>8</v>
      </c>
      <c r="M69" s="644"/>
      <c r="N69" s="644"/>
      <c r="O69" s="637">
        <f t="shared" si="134"/>
        <v>39.78</v>
      </c>
      <c r="P69" s="646">
        <f>IF(K69="kompletna",J69*G69*0.0036*'Założenia,wskaźniki, listy'!$P$9,IF(K69="częściowa",J69*G69*0.0036*'Założenia,wskaźniki, listy'!$P$10,IF(K69="brak",J69*G69*0.0036*'Założenia,wskaźniki, listy'!$P$11,0)))</f>
        <v>79.56</v>
      </c>
      <c r="Q69" s="638">
        <f>H69*'Założenia,wskaźniki, listy'!$L$15</f>
        <v>0</v>
      </c>
      <c r="R69" s="635">
        <f>IF(L69="węgiel",'Mieszkalne - baza'!M69*'Założenia,wskaźniki, listy'!$B$4,IF(L69="gaz",'Mieszkalne - baza'!M69*'Założenia,wskaźniki, listy'!$B$5,IF(L69="drewno",'Mieszkalne - baza'!M69*'Założenia,wskaźniki, listy'!$B$6,IF(L69="pelet",'Mieszkalne - baza'!M69*'Założenia,wskaźniki, listy'!$B$7,IF(L69="olej opałowy",'Mieszkalne - baza'!M69*'Założenia,wskaźniki, listy'!$B$8,IF(L69="sieć ciepłownicza",0,0))))))</f>
        <v>0</v>
      </c>
      <c r="S69" s="1084">
        <v>1.8048000000000002</v>
      </c>
      <c r="T69" s="639">
        <f>IF(L69="węgiel",R69*'Założenia,wskaźniki, listy'!$C$44,IF(L69="gaz",R69*'Założenia,wskaźniki, listy'!$D$44,IF(L69="drewno",R69*'Założenia,wskaźniki, listy'!$E$44,IF(L69="pelet",R69*'Założenia,wskaźniki, listy'!$F$44,IF(L69="olej opałowy",R69*'Założenia,wskaźniki, listy'!$G$44,IF(L69="sieć ciepłownicza",0,IF(L69="prąd",0,0)))))))</f>
        <v>0</v>
      </c>
      <c r="U69" s="639">
        <f>IF(L69="węgiel",R69*'Założenia,wskaźniki, listy'!$C$45,IF(L69="gaz",R69*'Założenia,wskaźniki, listy'!$D$45,IF(L69="drewno",R69*'Założenia,wskaźniki, listy'!$E$45,IF(L69="pelet",R69*'Założenia,wskaźniki, listy'!$F$45,IF(L69="olej opałowy",R69*'Założenia,wskaźniki, listy'!$G$45,IF(L69="sieć ciepłownicza",0,IF(L69="prąd",0,0)))))))</f>
        <v>0</v>
      </c>
      <c r="V69" s="639">
        <f>IF(L69="węgiel",R69*'Założenia,wskaźniki, listy'!$C$46,IF(L69="gaz",R69*'Założenia,wskaźniki, listy'!$D$46,IF(L69="drewno",R69*'Założenia,wskaźniki, listy'!$E$46,IF(L69="pelet",R69*'Założenia,wskaźniki, listy'!$F$46,IF(L69="olej opałowy",R69*'Założenia,wskaźniki, listy'!$G$46,IF(L69="sieć ciepłownicza",R69*'Założenia,wskaźniki, listy'!$H$46,IF(L69="prąd",R69*'Założenia,wskaźniki, listy'!$I$46,0)))))))</f>
        <v>0</v>
      </c>
      <c r="W69" s="639">
        <f>IF(L69="węgiel",R69*'Założenia,wskaźniki, listy'!$C$47,IF(L69="gaz",R69*'Założenia,wskaźniki, listy'!$D$47,IF(L69="drewno",R69*'Założenia,wskaźniki, listy'!$E$47,IF(L69="pelet",R69*'Założenia,wskaźniki, listy'!$F$47,IF(L69="olej opałowy",R69*'Założenia,wskaźniki, listy'!$G$47,IF(L69="sieć ciepłownicza",0,IF(L69="prąd",0,0)))))))</f>
        <v>0</v>
      </c>
      <c r="X69" s="639">
        <f>IF(L69="węgiel",R69*'Założenia,wskaźniki, listy'!$C$48, IF(L69="gaz",R69*'Założenia,wskaźniki, listy'!$D$48,IF(L69="drewno",R69*'Założenia,wskaźniki, listy'!$E$48,IF(L69="pelet",R69*'Założenia,wskaźniki, listy'!$F$48,IF(L69="olej opałowy",R69*'Założenia,wskaźniki, listy'!$G$48,IF(L69="sieć ciepłownicza",0,IF(L69="prąd",0,0)))))))</f>
        <v>0</v>
      </c>
      <c r="Y69" s="639">
        <f>IF(L69="węgiel",R69*'Założenia,wskaźniki, listy'!$C$49, IF(L69="gaz",R69*'Założenia,wskaźniki, listy'!$D$49, IF(L69="drewno",R69*'Założenia,wskaźniki, listy'!$E$49,IF(L69="pelet",R69*'Założenia,wskaźniki, listy'!$F$49,IF(L69="olej opałowy",R69*'Założenia,wskaźniki, listy'!$G$49,IF(L69="sieć ciepłownicza",0,IF(L69="prąd",0,0)))))))</f>
        <v>0</v>
      </c>
      <c r="Z69" s="639">
        <f>IF(L69="węgiel",R69*'Założenia,wskaźniki, listy'!$C$50,IF(L69="gaz",R69*'Założenia,wskaźniki, listy'!$D$50, IF(L69="drewno",R69*'Założenia,wskaźniki, listy'!$E$50,IF(L69="pelet",R69*'Założenia,wskaźniki, listy'!$F$50,IF(L69="pelet",R69*'Założenia,wskaźniki, listy'!$F$50,IF(L69="olej opałowy",R69*'Założenia,wskaźniki, listy'!$G$50,IF(L69="sieć ciepłownicza",0,IF(L69="prąd",0,0))))))))</f>
        <v>0</v>
      </c>
      <c r="AA69" s="639">
        <f>IF(N69="węgiel",Q69*'Założenia,wskaźniki, listy'!$C$44,IF(N69="gaz",Q69*'Założenia,wskaźniki, listy'!$D$44,IF(N69="drewno",Q69*'Założenia,wskaźniki, listy'!$E$44,IF(N69="pelet",Q69*'Założenia,wskaźniki, listy'!$G$44,IF(N69="olej opałowy",Q69*'Założenia,wskaźniki, listy'!$G$44,IF(N69="sieć ciepłownicza",0,IF(N69="prąd",0,0)))))))</f>
        <v>0</v>
      </c>
      <c r="AB69" s="639">
        <f>IF(N69="węgiel",Q69*'Założenia,wskaźniki, listy'!$C$45,IF(N69="gaz",Q69*'Założenia,wskaźniki, listy'!$D$45,IF(N69="drewno",Q69*'Założenia,wskaźniki, listy'!$E$45,IF(N69="pelet",Q69*'Założenia,wskaźniki, listy'!$G$45,IF(N69="olej opałowy",Q69*'Założenia,wskaźniki, listy'!$G$45,IF(N69="sieć ciepłownicza",0,IF(N69="prąd",0,0)))))))</f>
        <v>0</v>
      </c>
      <c r="AC69" s="639">
        <f>IF(N69="węgiel",Q69*'Założenia,wskaźniki, listy'!$C$46,IF(N69="gaz",Q69*'Założenia,wskaźniki, listy'!$D$46,IF(N69="drewno",Q69*'Założenia,wskaźniki, listy'!$E$46,IF(N69="pelet",Q69*'Założenia,wskaźniki, listy'!$G$46,IF(N69="olej opałowy",Q69*'Założenia,wskaźniki, listy'!$G$46,IF(N69="sieć ciepłownicza",0,IF(N69="prąd",0,0)))))))</f>
        <v>0</v>
      </c>
      <c r="AD69" s="639">
        <f>IF(N69="węgiel",Q69*'Założenia,wskaźniki, listy'!$C$47,IF(N69="gaz",Q69*'Założenia,wskaźniki, listy'!$D$47,IF(N69="drewno",Q69*'Założenia,wskaźniki, listy'!$E$47,IF(N69="pelet",Q69*'Założenia,wskaźniki, listy'!$G$47,IF(N69="olej opałowy",Q69*'Założenia,wskaźniki, listy'!$G$47,IF(N69="sieć ciepłownicza",0,IF(N69="prąd",0,0)))))))</f>
        <v>0</v>
      </c>
      <c r="AE69" s="639">
        <f>IF(N69="węgiel",Q69*'Założenia,wskaźniki, listy'!$C$48,IF(N69="gaz",Q69*'Założenia,wskaźniki, listy'!$D$48,IF(N69="drewno",Q69*'Założenia,wskaźniki, listy'!$E$48,IF(N69="pelet",Q69*'Założenia,wskaźniki, listy'!$G$48,IF(N69="olej opałowy",Q69*'Założenia,wskaźniki, listy'!$G$48,IF(N69="sieć ciepłownicza",0,IF(N69="prąd",0,0)))))))</f>
        <v>0</v>
      </c>
      <c r="AF69" s="639">
        <f>IF(N69="węgiel",Q69*'Założenia,wskaźniki, listy'!$C$49,IF(N69="gaz",Q69*'Założenia,wskaźniki, listy'!$D$49,IF(N69="drewno",Q69*'Założenia,wskaźniki, listy'!$E$49,IF(N69="pelet",Q69*'Założenia,wskaźniki, listy'!$G$49,IF(N69="olej opałowy",Q69*'Założenia,wskaźniki, listy'!$G$49,IF(N69="sieć ciepłownicza",0,IF(N69="prąd",0,0)))))))</f>
        <v>0</v>
      </c>
      <c r="AG69" s="639">
        <f>IF(N69="węgiel",Q69*'Założenia,wskaźniki, listy'!$C$50,IF(N69="gaz",Q69*'Założenia,wskaźniki, listy'!$D$50,IF(N69="drewno",Q69*'Założenia,wskaźniki, listy'!$E$50,IF(N69="pelet",Q69*'Założenia,wskaźniki, listy'!$G$50,IF(N69="olej opałowy",Q69*'Założenia,wskaźniki, listy'!$G$50,IF(N69="sieć ciepłownicza",0,IF(N69="prąd",0,0)))))))</f>
        <v>0</v>
      </c>
      <c r="AH69" s="640">
        <f>IF(L69="węgiel",(P69+R69)/2*'Założenia,wskaźniki, listy'!$C$4,IF(L69="gaz",(P69+R69)/2*'Założenia,wskaźniki, listy'!$C$5,IF(L69="drewno",(P69+R69)/2*'Założenia,wskaźniki, listy'!$C$6,IF(L69="pelet",(P69+R69)/2*'Założenia,wskaźniki, listy'!$C$7,IF(L69="olej opałowy",(P69+R69)/2*'Założenia,wskaźniki, listy'!$C$8,IF(L69="sieć ciepłownicza",(P69+R69)/2*'Założenia,wskaźniki, listy'!$C$9,IF(L69="sieć ciepłownicza",(P69+R69)/2*'Założenia,wskaźniki, listy'!$C$10,)))))))</f>
        <v>1630.98</v>
      </c>
      <c r="AI69" s="640">
        <f>IF(N69="węgiel",Q69*'Założenia,wskaźniki, listy'!$C$4,IF(N69="gaz",Q69*'Założenia,wskaźniki, listy'!$C$5,IF(N69="drewno",Q69*'Założenia,wskaźniki, listy'!$C$6,IF(N69="pelet",Q69*'Założenia,wskaźniki, listy'!$C$7,IF(N69="olej opałowy",Q69*'Założenia,wskaźniki, listy'!$C$8,IF(N69="sieć ciepłownicza",Q69*'Założenia,wskaźniki, listy'!$C$9,IF(N69="sieć ciepłownicza",Q69*'Założenia,wskaźniki, listy'!$C$10,0)))))))</f>
        <v>0</v>
      </c>
      <c r="AJ69" s="640">
        <f>S69*'Założenia,wskaźniki, listy'!$B$64*1000</f>
        <v>1281.4080000000001</v>
      </c>
      <c r="AK69" s="640">
        <f>(H69+I69)*'Założenia,wskaźniki, listy'!$D$64*12</f>
        <v>0</v>
      </c>
      <c r="AL69" s="640">
        <f>AK69*'Założenia,wskaźniki, listy'!$F$64</f>
        <v>0</v>
      </c>
      <c r="AM69" s="639">
        <f t="shared" si="128"/>
        <v>0</v>
      </c>
      <c r="AN69" s="639">
        <f t="shared" si="129"/>
        <v>0</v>
      </c>
      <c r="AO69" s="639">
        <f>V69+AC69+S69*'Założenia,wskaźniki, listy'!$J$46</f>
        <v>1.5006912000000001</v>
      </c>
      <c r="AP69" s="639">
        <f t="shared" si="130"/>
        <v>0</v>
      </c>
      <c r="AQ69" s="639">
        <f t="shared" si="131"/>
        <v>0</v>
      </c>
      <c r="AR69" s="639">
        <f t="shared" si="132"/>
        <v>0</v>
      </c>
      <c r="AS69" s="639">
        <f t="shared" si="133"/>
        <v>0</v>
      </c>
      <c r="AT69" s="647"/>
      <c r="AU69" s="647"/>
      <c r="AV69" s="624" t="b">
        <f t="shared" si="135"/>
        <v>0</v>
      </c>
      <c r="AW69" s="624" t="b">
        <f t="shared" si="136"/>
        <v>0</v>
      </c>
      <c r="AX69" s="624" t="b">
        <f t="shared" si="137"/>
        <v>0</v>
      </c>
      <c r="AY69" s="624" t="b">
        <f t="shared" si="138"/>
        <v>0</v>
      </c>
      <c r="AZ69" s="624" t="b">
        <f t="shared" si="139"/>
        <v>0</v>
      </c>
      <c r="BA69" s="624" t="b">
        <f t="shared" si="140"/>
        <v>0</v>
      </c>
      <c r="BB69" s="624">
        <f t="shared" si="141"/>
        <v>170</v>
      </c>
      <c r="BC69" s="624" t="b">
        <f t="shared" si="142"/>
        <v>0</v>
      </c>
      <c r="BD69" s="624" t="b">
        <f t="shared" si="143"/>
        <v>0</v>
      </c>
      <c r="BE69" s="624" t="b">
        <f t="shared" si="144"/>
        <v>0</v>
      </c>
      <c r="BF69" s="624">
        <f t="shared" si="145"/>
        <v>0</v>
      </c>
      <c r="BG69" s="624" t="b">
        <f t="shared" si="146"/>
        <v>0</v>
      </c>
      <c r="BH69" s="624" t="b">
        <f t="shared" si="147"/>
        <v>0</v>
      </c>
      <c r="BI69" s="624" t="b">
        <f t="shared" si="148"/>
        <v>0</v>
      </c>
      <c r="BJ69" s="624" t="b">
        <f t="shared" si="149"/>
        <v>0</v>
      </c>
      <c r="BK69" s="624" t="b">
        <f t="shared" si="150"/>
        <v>0</v>
      </c>
      <c r="BL69" s="624" t="b">
        <f t="shared" si="151"/>
        <v>0</v>
      </c>
      <c r="BM69" s="624" t="b">
        <f t="shared" si="152"/>
        <v>0</v>
      </c>
      <c r="BN69" s="624" t="b">
        <f t="shared" si="153"/>
        <v>0</v>
      </c>
      <c r="BO69" s="624" t="b">
        <f t="shared" si="154"/>
        <v>0</v>
      </c>
      <c r="BP69" s="624" t="b">
        <f t="shared" si="155"/>
        <v>0</v>
      </c>
      <c r="BQ69" s="624" t="b">
        <f t="shared" si="156"/>
        <v>0</v>
      </c>
    </row>
    <row r="70" spans="1:69">
      <c r="A70" s="1087"/>
      <c r="B70" s="872"/>
      <c r="C70" s="872"/>
      <c r="D70" s="645"/>
      <c r="E70" s="645"/>
      <c r="F70" s="644"/>
      <c r="G70" s="644"/>
      <c r="H70" s="644"/>
      <c r="I70" s="635"/>
      <c r="J70" s="644">
        <f>IF(F70&lt;=1966,'Założenia,wskaźniki, listy'!$H$4,IF(F70&gt;1966,IF(F70&lt;=1985,'Założenia,wskaźniki, listy'!$H$5,IF(F70&gt;1985,IF(F70&lt;=1992,'Założenia,wskaźniki, listy'!$H$6,IF(F70&gt;1992,IF(F70&lt;=1996,'Założenia,wskaźniki, listy'!$H$7,IF(F70&gt;1996,IF(F70&lt;=2015,'Założenia,wskaźniki, listy'!$H$8)))))))))</f>
        <v>290</v>
      </c>
      <c r="K70" s="864"/>
      <c r="L70" s="644" t="s">
        <v>79</v>
      </c>
      <c r="M70" s="644">
        <v>5</v>
      </c>
      <c r="N70" s="644"/>
      <c r="O70" s="637">
        <f t="shared" si="134"/>
        <v>75</v>
      </c>
      <c r="P70" s="646">
        <f>IF(K70="kompletna",J70*G70*0.0036*'Założenia,wskaźniki, listy'!$P$9,IF(K70="częściowa",J70*G70*0.0036*'Założenia,wskaźniki, listy'!$P$10,IF(K70="brak",J70*G70*0.0036*'Założenia,wskaźniki, listy'!$P$11,0)))</f>
        <v>0</v>
      </c>
      <c r="Q70" s="638">
        <f>H70*'Założenia,wskaźniki, listy'!$L$15</f>
        <v>0</v>
      </c>
      <c r="R70" s="635">
        <f>IF(L70="węgiel",'Mieszkalne - baza'!M70*'Założenia,wskaźniki, listy'!$B$4,IF(L70="gaz",'Mieszkalne - baza'!M70*'Założenia,wskaźniki, listy'!$B$5,IF(L70="drewno",'Mieszkalne - baza'!M70*'Założenia,wskaźniki, listy'!$B$6,IF(L70="pelet",'Mieszkalne - baza'!M70*'Założenia,wskaźniki, listy'!$B$7,IF(L70="olej opałowy",'Mieszkalne - baza'!M70*'Założenia,wskaźniki, listy'!$B$8,IF(L70="sieć ciepłownicza",0,0))))))</f>
        <v>75</v>
      </c>
      <c r="S70" s="1085"/>
      <c r="T70" s="639">
        <f>IF(L70="węgiel",R70*'Założenia,wskaźniki, listy'!$C$44,IF(L70="gaz",R70*'Założenia,wskaźniki, listy'!$D$44,IF(L70="drewno",R70*'Założenia,wskaźniki, listy'!$E$44,IF(L70="pelet",R70*'Założenia,wskaźniki, listy'!$F$44,IF(L70="olej opałowy",R70*'Założenia,wskaźniki, listy'!$G$44,IF(L70="sieć ciepłownicza",0,IF(L70="prąd",0,0)))))))</f>
        <v>3.6000000000000004E-2</v>
      </c>
      <c r="U70" s="639">
        <f>IF(L70="węgiel",R70*'Założenia,wskaźniki, listy'!$C$45,IF(L70="gaz",R70*'Założenia,wskaźniki, listy'!$D$45,IF(L70="drewno",R70*'Założenia,wskaźniki, listy'!$E$45,IF(L70="pelet",R70*'Założenia,wskaźniki, listy'!$F$45,IF(L70="olej opałowy",R70*'Założenia,wskaźniki, listy'!$G$45,IF(L70="sieć ciepłownicza",0,IF(L70="prąd",0,0)))))))</f>
        <v>3.5249999999999997E-2</v>
      </c>
      <c r="V70" s="639">
        <f>IF(L70="węgiel",R70*'Założenia,wskaźniki, listy'!$C$46,IF(L70="gaz",R70*'Założenia,wskaźniki, listy'!$D$46,IF(L70="drewno",R70*'Założenia,wskaźniki, listy'!$E$46,IF(L70="pelet",R70*'Założenia,wskaźniki, listy'!$F$46,IF(L70="olej opałowy",R70*'Założenia,wskaźniki, listy'!$G$46,IF(L70="sieć ciepłownicza",R70*'Założenia,wskaźniki, listy'!$H$46,IF(L70="prąd",R70*'Założenia,wskaźniki, listy'!$I$46,0)))))))</f>
        <v>0</v>
      </c>
      <c r="W70" s="639">
        <f>IF(L70="węgiel",R70*'Założenia,wskaźniki, listy'!$C$47,IF(L70="gaz",R70*'Założenia,wskaźniki, listy'!$D$47,IF(L70="drewno",R70*'Założenia,wskaźniki, listy'!$E$47,IF(L70="pelet",R70*'Założenia,wskaźniki, listy'!$F$47,IF(L70="olej opałowy",R70*'Założenia,wskaźniki, listy'!$G$47,IF(L70="sieć ciepłownicza",0,IF(L70="prąd",0,0)))))))</f>
        <v>9.0750000000000004E-6</v>
      </c>
      <c r="X70" s="639">
        <f>IF(L70="węgiel",R70*'Założenia,wskaźniki, listy'!$C$48, IF(L70="gaz",R70*'Założenia,wskaźniki, listy'!$D$48,IF(L70="drewno",R70*'Założenia,wskaźniki, listy'!$E$48,IF(L70="pelet",R70*'Założenia,wskaźniki, listy'!$F$48,IF(L70="olej opałowy",R70*'Założenia,wskaźniki, listy'!$G$48,IF(L70="sieć ciepłownicza",0,IF(L70="prąd",0,0)))))))</f>
        <v>8.25E-4</v>
      </c>
      <c r="Y70" s="639">
        <f>IF(L70="węgiel",R70*'Założenia,wskaźniki, listy'!$C$49, IF(L70="gaz",R70*'Założenia,wskaźniki, listy'!$D$49, IF(L70="drewno",R70*'Założenia,wskaźniki, listy'!$E$49,IF(L70="pelet",R70*'Założenia,wskaźniki, listy'!$F$49,IF(L70="olej opałowy",R70*'Założenia,wskaźniki, listy'!$G$49,IF(L70="sieć ciepłownicza",0,IF(L70="prąd",0,0)))))))</f>
        <v>6.0000000000000001E-3</v>
      </c>
      <c r="Z70" s="639">
        <f>IF(L70="węgiel",R70*'Założenia,wskaźniki, listy'!$C$50,IF(L70="gaz",R70*'Założenia,wskaźniki, listy'!$D$50, IF(L70="drewno",R70*'Założenia,wskaźniki, listy'!$E$50,IF(L70="pelet",R70*'Założenia,wskaźniki, listy'!$F$50,IF(L70="pelet",R70*'Założenia,wskaźniki, listy'!$F$50,IF(L70="olej opałowy",R70*'Założenia,wskaźniki, listy'!$G$50,IF(L70="sieć ciepłownicza",0,IF(L70="prąd",0,0))))))))</f>
        <v>1.3455E-2</v>
      </c>
      <c r="AA70" s="639">
        <f>IF(N70="węgiel",Q70*'Założenia,wskaźniki, listy'!$C$44,IF(N70="gaz",Q70*'Założenia,wskaźniki, listy'!$D$44,IF(N70="drewno",Q70*'Założenia,wskaźniki, listy'!$E$44,IF(N70="pelet",Q70*'Założenia,wskaźniki, listy'!$G$44,IF(N70="olej opałowy",Q70*'Założenia,wskaźniki, listy'!$G$44,IF(N70="sieć ciepłownicza",0,IF(N70="prąd",0,0)))))))</f>
        <v>0</v>
      </c>
      <c r="AB70" s="639">
        <f>IF(N70="węgiel",Q70*'Założenia,wskaźniki, listy'!$C$45,IF(N70="gaz",Q70*'Założenia,wskaźniki, listy'!$D$45,IF(N70="drewno",Q70*'Założenia,wskaźniki, listy'!$E$45,IF(N70="pelet",Q70*'Założenia,wskaźniki, listy'!$G$45,IF(N70="olej opałowy",Q70*'Założenia,wskaźniki, listy'!$G$45,IF(N70="sieć ciepłownicza",0,IF(N70="prąd",0,0)))))))</f>
        <v>0</v>
      </c>
      <c r="AC70" s="639">
        <f>IF(N70="węgiel",Q70*'Założenia,wskaźniki, listy'!$C$46,IF(N70="gaz",Q70*'Założenia,wskaźniki, listy'!$D$46,IF(N70="drewno",Q70*'Założenia,wskaźniki, listy'!$E$46,IF(N70="pelet",Q70*'Założenia,wskaźniki, listy'!$G$46,IF(N70="olej opałowy",Q70*'Założenia,wskaźniki, listy'!$G$46,IF(N70="sieć ciepłownicza",0,IF(N70="prąd",0,0)))))))</f>
        <v>0</v>
      </c>
      <c r="AD70" s="639">
        <f>IF(N70="węgiel",Q70*'Założenia,wskaźniki, listy'!$C$47,IF(N70="gaz",Q70*'Założenia,wskaźniki, listy'!$D$47,IF(N70="drewno",Q70*'Założenia,wskaźniki, listy'!$E$47,IF(N70="pelet",Q70*'Założenia,wskaźniki, listy'!$G$47,IF(N70="olej opałowy",Q70*'Założenia,wskaźniki, listy'!$G$47,IF(N70="sieć ciepłownicza",0,IF(N70="prąd",0,0)))))))</f>
        <v>0</v>
      </c>
      <c r="AE70" s="639">
        <f>IF(N70="węgiel",Q70*'Założenia,wskaźniki, listy'!$C$48,IF(N70="gaz",Q70*'Założenia,wskaźniki, listy'!$D$48,IF(N70="drewno",Q70*'Założenia,wskaźniki, listy'!$E$48,IF(N70="pelet",Q70*'Założenia,wskaźniki, listy'!$G$48,IF(N70="olej opałowy",Q70*'Założenia,wskaźniki, listy'!$G$48,IF(N70="sieć ciepłownicza",0,IF(N70="prąd",0,0)))))))</f>
        <v>0</v>
      </c>
      <c r="AF70" s="639">
        <f>IF(N70="węgiel",Q70*'Założenia,wskaźniki, listy'!$C$49,IF(N70="gaz",Q70*'Założenia,wskaźniki, listy'!$D$49,IF(N70="drewno",Q70*'Założenia,wskaźniki, listy'!$E$49,IF(N70="pelet",Q70*'Założenia,wskaźniki, listy'!$G$49,IF(N70="olej opałowy",Q70*'Założenia,wskaźniki, listy'!$G$49,IF(N70="sieć ciepłownicza",0,IF(N70="prąd",0,0)))))))</f>
        <v>0</v>
      </c>
      <c r="AG70" s="639">
        <f>IF(N70="węgiel",Q70*'Założenia,wskaźniki, listy'!$C$50,IF(N70="gaz",Q70*'Założenia,wskaźniki, listy'!$D$50,IF(N70="drewno",Q70*'Założenia,wskaźniki, listy'!$E$50,IF(N70="pelet",Q70*'Założenia,wskaźniki, listy'!$G$50,IF(N70="olej opałowy",Q70*'Założenia,wskaźniki, listy'!$G$50,IF(N70="sieć ciepłownicza",0,IF(N70="prąd",0,0)))))))</f>
        <v>0</v>
      </c>
      <c r="AH70" s="640">
        <f>IF(L70="węgiel",(P70+R70)/2*'Założenia,wskaźniki, listy'!$C$4,IF(L70="gaz",(P70+R70)/2*'Założenia,wskaźniki, listy'!$C$5,IF(L70="drewno",(P70+R70)/2*'Założenia,wskaźniki, listy'!$C$6,IF(L70="pelet",(P70+R70)/2*'Założenia,wskaźniki, listy'!$C$7,IF(L70="olej opałowy",(P70+R70)/2*'Założenia,wskaźniki, listy'!$C$8,IF(L70="sieć ciepłownicza",(P70+R70)/2*'Założenia,wskaźniki, listy'!$C$9,IF(L70="sieć ciepłownicza",(P70+R70)/2*'Założenia,wskaźniki, listy'!$C$10,)))))))</f>
        <v>1425</v>
      </c>
      <c r="AI70" s="640">
        <f>IF(N70="węgiel",Q70*'Założenia,wskaźniki, listy'!$C$4,IF(N70="gaz",Q70*'Założenia,wskaźniki, listy'!$C$5,IF(N70="drewno",Q70*'Założenia,wskaźniki, listy'!$C$6,IF(N70="pelet",Q70*'Założenia,wskaźniki, listy'!$C$7,IF(N70="olej opałowy",Q70*'Założenia,wskaźniki, listy'!$C$8,IF(N70="sieć ciepłownicza",Q70*'Założenia,wskaźniki, listy'!$C$9,IF(N70="sieć ciepłownicza",Q70*'Założenia,wskaźniki, listy'!$C$10,0)))))))</f>
        <v>0</v>
      </c>
      <c r="AJ70" s="640">
        <f>S70*'Założenia,wskaźniki, listy'!$B$64*1000</f>
        <v>0</v>
      </c>
      <c r="AK70" s="640">
        <f>(H70+I70)*'Założenia,wskaźniki, listy'!$D$64*12</f>
        <v>0</v>
      </c>
      <c r="AL70" s="640">
        <f>AK70*'Założenia,wskaźniki, listy'!$F$64</f>
        <v>0</v>
      </c>
      <c r="AM70" s="639">
        <f t="shared" si="128"/>
        <v>3.6000000000000004E-2</v>
      </c>
      <c r="AN70" s="639">
        <f t="shared" si="129"/>
        <v>3.5249999999999997E-2</v>
      </c>
      <c r="AO70" s="639">
        <f>V70+AC70+S70*'Założenia,wskaźniki, listy'!$J$46</f>
        <v>0</v>
      </c>
      <c r="AP70" s="639">
        <f t="shared" si="130"/>
        <v>9.0750000000000004E-6</v>
      </c>
      <c r="AQ70" s="639">
        <f t="shared" si="131"/>
        <v>8.25E-4</v>
      </c>
      <c r="AR70" s="639">
        <f t="shared" si="132"/>
        <v>6.0000000000000001E-3</v>
      </c>
      <c r="AS70" s="639">
        <f t="shared" si="133"/>
        <v>1.3455E-2</v>
      </c>
      <c r="AT70" s="647"/>
      <c r="AU70" s="647"/>
      <c r="AV70" s="624">
        <f t="shared" si="135"/>
        <v>0</v>
      </c>
      <c r="AW70" s="624" t="b">
        <f t="shared" si="136"/>
        <v>0</v>
      </c>
      <c r="AX70" s="624" t="b">
        <f t="shared" si="137"/>
        <v>0</v>
      </c>
      <c r="AY70" s="624" t="b">
        <f t="shared" si="138"/>
        <v>0</v>
      </c>
      <c r="AZ70" s="624" t="b">
        <f t="shared" si="139"/>
        <v>0</v>
      </c>
      <c r="BA70" s="624" t="b">
        <f t="shared" si="140"/>
        <v>0</v>
      </c>
      <c r="BB70" s="624" t="b">
        <f t="shared" si="141"/>
        <v>0</v>
      </c>
      <c r="BC70" s="624" t="b">
        <f t="shared" si="142"/>
        <v>0</v>
      </c>
      <c r="BD70" s="624" t="b">
        <f t="shared" si="143"/>
        <v>0</v>
      </c>
      <c r="BE70" s="624" t="b">
        <f t="shared" si="144"/>
        <v>0</v>
      </c>
      <c r="BF70" s="624" t="b">
        <f t="shared" si="145"/>
        <v>0</v>
      </c>
      <c r="BG70" s="624" t="b">
        <f t="shared" si="146"/>
        <v>0</v>
      </c>
      <c r="BH70" s="624">
        <f t="shared" si="147"/>
        <v>75</v>
      </c>
      <c r="BI70" s="624" t="b">
        <f t="shared" si="148"/>
        <v>0</v>
      </c>
      <c r="BJ70" s="624" t="b">
        <f t="shared" si="149"/>
        <v>0</v>
      </c>
      <c r="BK70" s="624" t="b">
        <f t="shared" si="150"/>
        <v>0</v>
      </c>
      <c r="BL70" s="624" t="b">
        <f t="shared" si="151"/>
        <v>0</v>
      </c>
      <c r="BM70" s="624" t="b">
        <f t="shared" si="152"/>
        <v>0</v>
      </c>
      <c r="BN70" s="624" t="b">
        <f t="shared" si="153"/>
        <v>0</v>
      </c>
      <c r="BO70" s="624" t="b">
        <f t="shared" si="154"/>
        <v>0</v>
      </c>
      <c r="BP70" s="624" t="b">
        <f t="shared" si="155"/>
        <v>0</v>
      </c>
      <c r="BQ70" s="624" t="b">
        <f t="shared" si="156"/>
        <v>0</v>
      </c>
    </row>
    <row r="71" spans="1:69">
      <c r="A71" s="1086">
        <v>34</v>
      </c>
      <c r="B71" s="872" t="s">
        <v>21</v>
      </c>
      <c r="C71" s="873" t="s">
        <v>621</v>
      </c>
      <c r="D71" s="645" t="s">
        <v>628</v>
      </c>
      <c r="E71" s="645">
        <v>21</v>
      </c>
      <c r="F71" s="872">
        <v>1994</v>
      </c>
      <c r="G71" s="872">
        <v>170</v>
      </c>
      <c r="H71" s="872"/>
      <c r="I71" s="873"/>
      <c r="J71" s="872">
        <f>IF(F71&lt;=1966,'Założenia,wskaźniki, listy'!$H$4,IF(F71&gt;1966,IF(F71&lt;=1985,'Założenia,wskaźniki, listy'!$H$5,IF(F71&gt;1985,IF(F71&lt;=1992,'Założenia,wskaźniki, listy'!$H$6,IF(F71&gt;1992,IF(F71&lt;=1996,'Założenia,wskaźniki, listy'!$H$7,IF(F71&gt;1996,IF(F71&lt;=2015,'Założenia,wskaźniki, listy'!$H$8)))))))))</f>
        <v>130</v>
      </c>
      <c r="K71" s="864" t="s">
        <v>31</v>
      </c>
      <c r="L71" s="872" t="s">
        <v>8</v>
      </c>
      <c r="M71" s="872">
        <v>3</v>
      </c>
      <c r="N71" s="644"/>
      <c r="O71" s="637">
        <f t="shared" si="134"/>
        <v>73.694999999999993</v>
      </c>
      <c r="P71" s="646">
        <f>IF(K71="kompletna",J71*G71*0.0036*'Założenia,wskaźniki, listy'!$P$9,IF(K71="częściowa",J71*G71*0.0036*'Założenia,wskaźniki, listy'!$P$10,IF(K71="brak",J71*G71*0.0036*'Założenia,wskaźniki, listy'!$P$11,0)))</f>
        <v>79.56</v>
      </c>
      <c r="Q71" s="638">
        <f>H71*'Założenia,wskaźniki, listy'!$L$15</f>
        <v>0</v>
      </c>
      <c r="R71" s="635">
        <f>IF(L71="węgiel",'Mieszkalne - baza'!M71*'Założenia,wskaźniki, listy'!$B$4,IF(L71="gaz",'Mieszkalne - baza'!M71*'Założenia,wskaźniki, listy'!$B$5,IF(L71="drewno",'Mieszkalne - baza'!M71*'Założenia,wskaźniki, listy'!$B$6,IF(L71="pelet",'Mieszkalne - baza'!M71*'Założenia,wskaźniki, listy'!$B$7,IF(L71="olej opałowy",'Mieszkalne - baza'!M71*'Założenia,wskaźniki, listy'!$B$8,IF(L71="sieć ciepłownicza",0,0))))))</f>
        <v>67.83</v>
      </c>
      <c r="S71" s="1084">
        <v>1.6919999999999999</v>
      </c>
      <c r="T71" s="639">
        <f>IF(L71="węgiel",R71*'Założenia,wskaźniki, listy'!$C$44,IF(L71="gaz",R71*'Założenia,wskaźniki, listy'!$D$44,IF(L71="drewno",R71*'Założenia,wskaźniki, listy'!$E$44,IF(L71="pelet",R71*'Założenia,wskaźniki, listy'!$F$44,IF(L71="olej opałowy",R71*'Założenia,wskaźniki, listy'!$G$44,IF(L71="sieć ciepłownicza",0,IF(L71="prąd",0,0)))))))</f>
        <v>1.5261749999999999E-2</v>
      </c>
      <c r="U71" s="639">
        <f>IF(L71="węgiel",R71*'Założenia,wskaźniki, listy'!$C$45,IF(L71="gaz",R71*'Założenia,wskaźniki, listy'!$D$45,IF(L71="drewno",R71*'Założenia,wskaźniki, listy'!$E$45,IF(L71="pelet",R71*'Założenia,wskaźniki, listy'!$F$45,IF(L71="olej opałowy",R71*'Założenia,wskaźniki, listy'!$G$45,IF(L71="sieć ciepłownicza",0,IF(L71="prąd",0,0)))))))</f>
        <v>1.363383E-2</v>
      </c>
      <c r="V71" s="639">
        <f>IF(L71="węgiel",R71*'Założenia,wskaźniki, listy'!$C$46,IF(L71="gaz",R71*'Założenia,wskaźniki, listy'!$D$46,IF(L71="drewno",R71*'Założenia,wskaźniki, listy'!$E$46,IF(L71="pelet",R71*'Założenia,wskaźniki, listy'!$F$46,IF(L71="olej opałowy",R71*'Założenia,wskaźniki, listy'!$G$46,IF(L71="sieć ciepłownicza",R71*'Założenia,wskaźniki, listy'!$H$46,IF(L71="prąd",R71*'Założenia,wskaźniki, listy'!$I$46,0)))))))</f>
        <v>6.3583841999999988</v>
      </c>
      <c r="W71" s="639">
        <f>IF(L71="węgiel",R71*'Założenia,wskaźniki, listy'!$C$47,IF(L71="gaz",R71*'Założenia,wskaźniki, listy'!$D$47,IF(L71="drewno",R71*'Założenia,wskaźniki, listy'!$E$47,IF(L71="pelet",R71*'Założenia,wskaźniki, listy'!$F$47,IF(L71="olej opałowy",R71*'Założenia,wskaźniki, listy'!$G$47,IF(L71="sieć ciepłownicza",0,IF(L71="prąd",0,0)))))))</f>
        <v>1.8314100000000001E-5</v>
      </c>
      <c r="X71" s="639">
        <f>IF(L71="węgiel",R71*'Założenia,wskaźniki, listy'!$C$48, IF(L71="gaz",R71*'Założenia,wskaźniki, listy'!$D$48,IF(L71="drewno",R71*'Założenia,wskaźniki, listy'!$E$48,IF(L71="pelet",R71*'Założenia,wskaźniki, listy'!$F$48,IF(L71="olej opałowy",R71*'Założenia,wskaźniki, listy'!$G$48,IF(L71="sieć ciepłownicza",0,IF(L71="prąd",0,0)))))))</f>
        <v>6.1046999999999997E-2</v>
      </c>
      <c r="Y71" s="639">
        <f>IF(L71="węgiel",R71*'Założenia,wskaźniki, listy'!$C$49, IF(L71="gaz",R71*'Założenia,wskaźniki, listy'!$D$49, IF(L71="drewno",R71*'Założenia,wskaźniki, listy'!$E$49,IF(L71="pelet",R71*'Założenia,wskaźniki, listy'!$F$49,IF(L71="olej opałowy",R71*'Założenia,wskaźniki, listy'!$G$49,IF(L71="sieć ciepłownicza",0,IF(L71="prąd",0,0)))))))</f>
        <v>1.071714E-2</v>
      </c>
      <c r="Z71" s="639">
        <f>IF(L71="węgiel",R71*'Założenia,wskaźniki, listy'!$C$50,IF(L71="gaz",R71*'Założenia,wskaźniki, listy'!$D$50, IF(L71="drewno",R71*'Założenia,wskaźniki, listy'!$E$50,IF(L71="pelet",R71*'Założenia,wskaźniki, listy'!$F$50,IF(L71="pelet",R71*'Założenia,wskaźniki, listy'!$F$50,IF(L71="olej opałowy",R71*'Założenia,wskaźniki, listy'!$G$50,IF(L71="sieć ciepłownicza",0,IF(L71="prąd",0,0))))))))</f>
        <v>0.13644836835046936</v>
      </c>
      <c r="AA71" s="639">
        <f>IF(N71="węgiel",Q71*'Założenia,wskaźniki, listy'!$C$44,IF(N71="gaz",Q71*'Założenia,wskaźniki, listy'!$D$44,IF(N71="drewno",Q71*'Założenia,wskaźniki, listy'!$E$44,IF(N71="pelet",Q71*'Założenia,wskaźniki, listy'!$G$44,IF(N71="olej opałowy",Q71*'Założenia,wskaźniki, listy'!$G$44,IF(N71="sieć ciepłownicza",0,IF(N71="prąd",0,0)))))))</f>
        <v>0</v>
      </c>
      <c r="AB71" s="639">
        <f>IF(N71="węgiel",Q71*'Założenia,wskaźniki, listy'!$C$45,IF(N71="gaz",Q71*'Założenia,wskaźniki, listy'!$D$45,IF(N71="drewno",Q71*'Założenia,wskaźniki, listy'!$E$45,IF(N71="pelet",Q71*'Założenia,wskaźniki, listy'!$G$45,IF(N71="olej opałowy",Q71*'Założenia,wskaźniki, listy'!$G$45,IF(N71="sieć ciepłownicza",0,IF(N71="prąd",0,0)))))))</f>
        <v>0</v>
      </c>
      <c r="AC71" s="639">
        <f>IF(N71="węgiel",Q71*'Założenia,wskaźniki, listy'!$C$46,IF(N71="gaz",Q71*'Założenia,wskaźniki, listy'!$D$46,IF(N71="drewno",Q71*'Założenia,wskaźniki, listy'!$E$46,IF(N71="pelet",Q71*'Założenia,wskaźniki, listy'!$G$46,IF(N71="olej opałowy",Q71*'Założenia,wskaźniki, listy'!$G$46,IF(N71="sieć ciepłownicza",0,IF(N71="prąd",0,0)))))))</f>
        <v>0</v>
      </c>
      <c r="AD71" s="639">
        <f>IF(N71="węgiel",Q71*'Założenia,wskaźniki, listy'!$C$47,IF(N71="gaz",Q71*'Założenia,wskaźniki, listy'!$D$47,IF(N71="drewno",Q71*'Założenia,wskaźniki, listy'!$E$47,IF(N71="pelet",Q71*'Założenia,wskaźniki, listy'!$G$47,IF(N71="olej opałowy",Q71*'Założenia,wskaźniki, listy'!$G$47,IF(N71="sieć ciepłownicza",0,IF(N71="prąd",0,0)))))))</f>
        <v>0</v>
      </c>
      <c r="AE71" s="639">
        <f>IF(N71="węgiel",Q71*'Założenia,wskaźniki, listy'!$C$48,IF(N71="gaz",Q71*'Założenia,wskaźniki, listy'!$D$48,IF(N71="drewno",Q71*'Założenia,wskaźniki, listy'!$E$48,IF(N71="pelet",Q71*'Założenia,wskaźniki, listy'!$G$48,IF(N71="olej opałowy",Q71*'Założenia,wskaźniki, listy'!$G$48,IF(N71="sieć ciepłownicza",0,IF(N71="prąd",0,0)))))))</f>
        <v>0</v>
      </c>
      <c r="AF71" s="639">
        <f>IF(N71="węgiel",Q71*'Założenia,wskaźniki, listy'!$C$49,IF(N71="gaz",Q71*'Założenia,wskaźniki, listy'!$D$49,IF(N71="drewno",Q71*'Założenia,wskaźniki, listy'!$E$49,IF(N71="pelet",Q71*'Założenia,wskaźniki, listy'!$G$49,IF(N71="olej opałowy",Q71*'Założenia,wskaźniki, listy'!$G$49,IF(N71="sieć ciepłownicza",0,IF(N71="prąd",0,0)))))))</f>
        <v>0</v>
      </c>
      <c r="AG71" s="639">
        <f>IF(N71="węgiel",Q71*'Założenia,wskaźniki, listy'!$C$50,IF(N71="gaz",Q71*'Założenia,wskaźniki, listy'!$D$50,IF(N71="drewno",Q71*'Założenia,wskaźniki, listy'!$E$50,IF(N71="pelet",Q71*'Założenia,wskaźniki, listy'!$G$50,IF(N71="olej opałowy",Q71*'Założenia,wskaźniki, listy'!$G$50,IF(N71="sieć ciepłownicza",0,IF(N71="prąd",0,0)))))))</f>
        <v>0</v>
      </c>
      <c r="AH71" s="640">
        <f>IF(L71="węgiel",(P71+R71)/2*'Założenia,wskaźniki, listy'!$C$4,IF(L71="gaz",(P71+R71)/2*'Założenia,wskaźniki, listy'!$C$5,IF(L71="drewno",(P71+R71)/2*'Założenia,wskaźniki, listy'!$C$6,IF(L71="pelet",(P71+R71)/2*'Założenia,wskaźniki, listy'!$C$7,IF(L71="olej opałowy",(P71+R71)/2*'Założenia,wskaźniki, listy'!$C$8,IF(L71="sieć ciepłownicza",(P71+R71)/2*'Założenia,wskaźniki, listy'!$C$9,IF(L71="sieć ciepłownicza",(P71+R71)/2*'Założenia,wskaźniki, listy'!$C$10,)))))))</f>
        <v>3021.4949999999999</v>
      </c>
      <c r="AI71" s="640">
        <f>IF(N71="węgiel",Q71*'Założenia,wskaźniki, listy'!$C$4,IF(N71="gaz",Q71*'Założenia,wskaźniki, listy'!$C$5,IF(N71="drewno",Q71*'Założenia,wskaźniki, listy'!$C$6,IF(N71="pelet",Q71*'Założenia,wskaźniki, listy'!$C$7,IF(N71="olej opałowy",Q71*'Założenia,wskaźniki, listy'!$C$8,IF(N71="sieć ciepłownicza",Q71*'Założenia,wskaźniki, listy'!$C$9,IF(N71="sieć ciepłownicza",Q71*'Założenia,wskaźniki, listy'!$C$10,0)))))))</f>
        <v>0</v>
      </c>
      <c r="AJ71" s="640">
        <f>S71*'Założenia,wskaźniki, listy'!$B$64*1000</f>
        <v>1201.32</v>
      </c>
      <c r="AK71" s="640">
        <f>(H71+I71)*'Założenia,wskaźniki, listy'!$D$64*12</f>
        <v>0</v>
      </c>
      <c r="AL71" s="640">
        <f>AK71*'Założenia,wskaźniki, listy'!$F$64</f>
        <v>0</v>
      </c>
      <c r="AM71" s="639">
        <f t="shared" si="128"/>
        <v>1.5261749999999999E-2</v>
      </c>
      <c r="AN71" s="639">
        <f t="shared" si="129"/>
        <v>1.363383E-2</v>
      </c>
      <c r="AO71" s="639">
        <f>V71+AC71+S71*'Założenia,wskaźniki, listy'!$J$46</f>
        <v>7.7652821999999988</v>
      </c>
      <c r="AP71" s="639">
        <f t="shared" si="130"/>
        <v>1.8314100000000001E-5</v>
      </c>
      <c r="AQ71" s="639">
        <f t="shared" si="131"/>
        <v>6.1046999999999997E-2</v>
      </c>
      <c r="AR71" s="639">
        <f t="shared" si="132"/>
        <v>1.071714E-2</v>
      </c>
      <c r="AS71" s="639">
        <f t="shared" si="133"/>
        <v>0.13644836835046936</v>
      </c>
      <c r="AT71" s="647"/>
      <c r="AU71" s="647"/>
      <c r="AV71" s="624" t="b">
        <f t="shared" si="135"/>
        <v>0</v>
      </c>
      <c r="AW71" s="624" t="b">
        <f t="shared" si="136"/>
        <v>0</v>
      </c>
      <c r="AX71" s="624" t="b">
        <f t="shared" si="137"/>
        <v>0</v>
      </c>
      <c r="AY71" s="624" t="b">
        <f t="shared" si="138"/>
        <v>0</v>
      </c>
      <c r="AZ71" s="624" t="b">
        <f t="shared" si="139"/>
        <v>0</v>
      </c>
      <c r="BA71" s="624" t="b">
        <f t="shared" si="140"/>
        <v>0</v>
      </c>
      <c r="BB71" s="624">
        <f t="shared" si="141"/>
        <v>170</v>
      </c>
      <c r="BC71" s="624" t="b">
        <f t="shared" si="142"/>
        <v>0</v>
      </c>
      <c r="BD71" s="624" t="b">
        <f t="shared" si="143"/>
        <v>0</v>
      </c>
      <c r="BE71" s="624" t="b">
        <f t="shared" si="144"/>
        <v>0</v>
      </c>
      <c r="BF71" s="624">
        <f t="shared" si="145"/>
        <v>67.83</v>
      </c>
      <c r="BG71" s="624" t="b">
        <f t="shared" si="146"/>
        <v>0</v>
      </c>
      <c r="BH71" s="624" t="b">
        <f t="shared" si="147"/>
        <v>0</v>
      </c>
      <c r="BI71" s="624" t="b">
        <f t="shared" si="148"/>
        <v>0</v>
      </c>
      <c r="BJ71" s="624" t="b">
        <f t="shared" si="149"/>
        <v>0</v>
      </c>
      <c r="BK71" s="624" t="b">
        <f t="shared" si="150"/>
        <v>0</v>
      </c>
      <c r="BL71" s="624" t="b">
        <f t="shared" si="151"/>
        <v>0</v>
      </c>
      <c r="BM71" s="624" t="b">
        <f t="shared" si="152"/>
        <v>0</v>
      </c>
      <c r="BN71" s="624" t="b">
        <f t="shared" si="153"/>
        <v>0</v>
      </c>
      <c r="BO71" s="624" t="b">
        <f t="shared" si="154"/>
        <v>0</v>
      </c>
      <c r="BP71" s="624" t="b">
        <f t="shared" si="155"/>
        <v>0</v>
      </c>
      <c r="BQ71" s="624" t="b">
        <f t="shared" si="156"/>
        <v>0</v>
      </c>
    </row>
    <row r="72" spans="1:69">
      <c r="A72" s="1087"/>
      <c r="B72" s="872"/>
      <c r="C72" s="872"/>
      <c r="D72" s="645"/>
      <c r="E72" s="645"/>
      <c r="F72" s="872"/>
      <c r="G72" s="872"/>
      <c r="H72" s="872"/>
      <c r="I72" s="873"/>
      <c r="J72" s="872">
        <f>IF(F72&lt;=1966,'Założenia,wskaźniki, listy'!$H$4,IF(F72&gt;1966,IF(F72&lt;=1985,'Założenia,wskaźniki, listy'!$H$5,IF(F72&gt;1985,IF(F72&lt;=1992,'Założenia,wskaźniki, listy'!$H$6,IF(F72&gt;1992,IF(F72&lt;=1996,'Założenia,wskaźniki, listy'!$H$7,IF(F72&gt;1996,IF(F72&lt;=2015,'Założenia,wskaźniki, listy'!$H$8)))))))))</f>
        <v>290</v>
      </c>
      <c r="K72" s="864"/>
      <c r="L72" s="872" t="s">
        <v>79</v>
      </c>
      <c r="M72" s="872">
        <v>1</v>
      </c>
      <c r="N72" s="644"/>
      <c r="O72" s="637">
        <f t="shared" si="134"/>
        <v>15</v>
      </c>
      <c r="P72" s="646">
        <f>IF(K72="kompletna",J72*G72*0.0036*'Założenia,wskaźniki, listy'!$P$9,IF(K72="częściowa",J72*G72*0.0036*'Założenia,wskaźniki, listy'!$P$10,IF(K72="brak",J72*G72*0.0036*'Założenia,wskaźniki, listy'!$P$11,0)))</f>
        <v>0</v>
      </c>
      <c r="Q72" s="638">
        <f>H72*'Założenia,wskaźniki, listy'!$L$15</f>
        <v>0</v>
      </c>
      <c r="R72" s="635">
        <f>IF(L72="węgiel",'Mieszkalne - baza'!M72*'Założenia,wskaźniki, listy'!$B$4,IF(L72="gaz",'Mieszkalne - baza'!M72*'Założenia,wskaźniki, listy'!$B$5,IF(L72="drewno",'Mieszkalne - baza'!M72*'Założenia,wskaźniki, listy'!$B$6,IF(L72="pelet",'Mieszkalne - baza'!M72*'Założenia,wskaźniki, listy'!$B$7,IF(L72="olej opałowy",'Mieszkalne - baza'!M72*'Założenia,wskaźniki, listy'!$B$8,IF(L72="sieć ciepłownicza",0,0))))))</f>
        <v>15</v>
      </c>
      <c r="S72" s="1085"/>
      <c r="T72" s="639">
        <f>IF(L72="węgiel",R72*'Założenia,wskaźniki, listy'!$C$44,IF(L72="gaz",R72*'Założenia,wskaźniki, listy'!$D$44,IF(L72="drewno",R72*'Założenia,wskaźniki, listy'!$E$44,IF(L72="pelet",R72*'Założenia,wskaźniki, listy'!$F$44,IF(L72="olej opałowy",R72*'Założenia,wskaźniki, listy'!$G$44,IF(L72="sieć ciepłownicza",0,IF(L72="prąd",0,0)))))))</f>
        <v>7.1999999999999998E-3</v>
      </c>
      <c r="U72" s="639">
        <f>IF(L72="węgiel",R72*'Założenia,wskaźniki, listy'!$C$45,IF(L72="gaz",R72*'Założenia,wskaźniki, listy'!$D$45,IF(L72="drewno",R72*'Założenia,wskaźniki, listy'!$E$45,IF(L72="pelet",R72*'Założenia,wskaźniki, listy'!$F$45,IF(L72="olej opałowy",R72*'Założenia,wskaźniki, listy'!$G$45,IF(L72="sieć ciepłownicza",0,IF(L72="prąd",0,0)))))))</f>
        <v>7.0499999999999998E-3</v>
      </c>
      <c r="V72" s="639">
        <f>IF(L72="węgiel",R72*'Założenia,wskaźniki, listy'!$C$46,IF(L72="gaz",R72*'Założenia,wskaźniki, listy'!$D$46,IF(L72="drewno",R72*'Założenia,wskaźniki, listy'!$E$46,IF(L72="pelet",R72*'Założenia,wskaźniki, listy'!$F$46,IF(L72="olej opałowy",R72*'Założenia,wskaźniki, listy'!$G$46,IF(L72="sieć ciepłownicza",R72*'Założenia,wskaźniki, listy'!$H$46,IF(L72="prąd",R72*'Założenia,wskaźniki, listy'!$I$46,0)))))))</f>
        <v>0</v>
      </c>
      <c r="W72" s="639">
        <f>IF(L72="węgiel",R72*'Założenia,wskaźniki, listy'!$C$47,IF(L72="gaz",R72*'Założenia,wskaźniki, listy'!$D$47,IF(L72="drewno",R72*'Założenia,wskaźniki, listy'!$E$47,IF(L72="pelet",R72*'Założenia,wskaźniki, listy'!$F$47,IF(L72="olej opałowy",R72*'Założenia,wskaźniki, listy'!$G$47,IF(L72="sieć ciepłownicza",0,IF(L72="prąd",0,0)))))))</f>
        <v>1.8150000000000002E-6</v>
      </c>
      <c r="X72" s="639">
        <f>IF(L72="węgiel",R72*'Założenia,wskaźniki, listy'!$C$48, IF(L72="gaz",R72*'Założenia,wskaźniki, listy'!$D$48,IF(L72="drewno",R72*'Założenia,wskaźniki, listy'!$E$48,IF(L72="pelet",R72*'Założenia,wskaźniki, listy'!$F$48,IF(L72="olej opałowy",R72*'Założenia,wskaźniki, listy'!$G$48,IF(L72="sieć ciepłownicza",0,IF(L72="prąd",0,0)))))))</f>
        <v>1.65E-4</v>
      </c>
      <c r="Y72" s="639">
        <f>IF(L72="węgiel",R72*'Założenia,wskaźniki, listy'!$C$49, IF(L72="gaz",R72*'Założenia,wskaźniki, listy'!$D$49, IF(L72="drewno",R72*'Założenia,wskaźniki, listy'!$E$49,IF(L72="pelet",R72*'Założenia,wskaźniki, listy'!$F$49,IF(L72="olej opałowy",R72*'Założenia,wskaźniki, listy'!$G$49,IF(L72="sieć ciepłownicza",0,IF(L72="prąd",0,0)))))))</f>
        <v>1.2000000000000001E-3</v>
      </c>
      <c r="Z72" s="639">
        <f>IF(L72="węgiel",R72*'Założenia,wskaźniki, listy'!$C$50,IF(L72="gaz",R72*'Założenia,wskaźniki, listy'!$D$50, IF(L72="drewno",R72*'Założenia,wskaźniki, listy'!$E$50,IF(L72="pelet",R72*'Założenia,wskaźniki, listy'!$F$50,IF(L72="pelet",R72*'Założenia,wskaźniki, listy'!$F$50,IF(L72="olej opałowy",R72*'Założenia,wskaźniki, listy'!$G$50,IF(L72="sieć ciepłownicza",0,IF(L72="prąd",0,0))))))))</f>
        <v>2.6909999999999998E-3</v>
      </c>
      <c r="AA72" s="639">
        <f>IF(N72="węgiel",Q72*'Założenia,wskaźniki, listy'!$C$44,IF(N72="gaz",Q72*'Założenia,wskaźniki, listy'!$D$44,IF(N72="drewno",Q72*'Założenia,wskaźniki, listy'!$E$44,IF(N72="pelet",Q72*'Założenia,wskaźniki, listy'!$G$44,IF(N72="olej opałowy",Q72*'Założenia,wskaźniki, listy'!$G$44,IF(N72="sieć ciepłownicza",0,IF(N72="prąd",0,0)))))))</f>
        <v>0</v>
      </c>
      <c r="AB72" s="639">
        <f>IF(N72="węgiel",Q72*'Założenia,wskaźniki, listy'!$C$45,IF(N72="gaz",Q72*'Założenia,wskaźniki, listy'!$D$45,IF(N72="drewno",Q72*'Założenia,wskaźniki, listy'!$E$45,IF(N72="pelet",Q72*'Założenia,wskaźniki, listy'!$G$45,IF(N72="olej opałowy",Q72*'Założenia,wskaźniki, listy'!$G$45,IF(N72="sieć ciepłownicza",0,IF(N72="prąd",0,0)))))))</f>
        <v>0</v>
      </c>
      <c r="AC72" s="639">
        <f>IF(N72="węgiel",Q72*'Założenia,wskaźniki, listy'!$C$46,IF(N72="gaz",Q72*'Założenia,wskaźniki, listy'!$D$46,IF(N72="drewno",Q72*'Założenia,wskaźniki, listy'!$E$46,IF(N72="pelet",Q72*'Założenia,wskaźniki, listy'!$G$46,IF(N72="olej opałowy",Q72*'Założenia,wskaźniki, listy'!$G$46,IF(N72="sieć ciepłownicza",0,IF(N72="prąd",0,0)))))))</f>
        <v>0</v>
      </c>
      <c r="AD72" s="639">
        <f>IF(N72="węgiel",Q72*'Założenia,wskaźniki, listy'!$C$47,IF(N72="gaz",Q72*'Założenia,wskaźniki, listy'!$D$47,IF(N72="drewno",Q72*'Założenia,wskaźniki, listy'!$E$47,IF(N72="pelet",Q72*'Założenia,wskaźniki, listy'!$G$47,IF(N72="olej opałowy",Q72*'Założenia,wskaźniki, listy'!$G$47,IF(N72="sieć ciepłownicza",0,IF(N72="prąd",0,0)))))))</f>
        <v>0</v>
      </c>
      <c r="AE72" s="639">
        <f>IF(N72="węgiel",Q72*'Założenia,wskaźniki, listy'!$C$48,IF(N72="gaz",Q72*'Założenia,wskaźniki, listy'!$D$48,IF(N72="drewno",Q72*'Założenia,wskaźniki, listy'!$E$48,IF(N72="pelet",Q72*'Założenia,wskaźniki, listy'!$G$48,IF(N72="olej opałowy",Q72*'Założenia,wskaźniki, listy'!$G$48,IF(N72="sieć ciepłownicza",0,IF(N72="prąd",0,0)))))))</f>
        <v>0</v>
      </c>
      <c r="AF72" s="639">
        <f>IF(N72="węgiel",Q72*'Założenia,wskaźniki, listy'!$C$49,IF(N72="gaz",Q72*'Założenia,wskaźniki, listy'!$D$49,IF(N72="drewno",Q72*'Założenia,wskaźniki, listy'!$E$49,IF(N72="pelet",Q72*'Założenia,wskaźniki, listy'!$G$49,IF(N72="olej opałowy",Q72*'Założenia,wskaźniki, listy'!$G$49,IF(N72="sieć ciepłownicza",0,IF(N72="prąd",0,0)))))))</f>
        <v>0</v>
      </c>
      <c r="AG72" s="639">
        <f>IF(N72="węgiel",Q72*'Założenia,wskaźniki, listy'!$C$50,IF(N72="gaz",Q72*'Założenia,wskaźniki, listy'!$D$50,IF(N72="drewno",Q72*'Założenia,wskaźniki, listy'!$E$50,IF(N72="pelet",Q72*'Założenia,wskaźniki, listy'!$G$50,IF(N72="olej opałowy",Q72*'Założenia,wskaźniki, listy'!$G$50,IF(N72="sieć ciepłownicza",0,IF(N72="prąd",0,0)))))))</f>
        <v>0</v>
      </c>
      <c r="AH72" s="640">
        <f>IF(L72="węgiel",(P72+R72)/2*'Założenia,wskaźniki, listy'!$C$4,IF(L72="gaz",(P72+R72)/2*'Założenia,wskaźniki, listy'!$C$5,IF(L72="drewno",(P72+R72)/2*'Założenia,wskaźniki, listy'!$C$6,IF(L72="pelet",(P72+R72)/2*'Założenia,wskaźniki, listy'!$C$7,IF(L72="olej opałowy",(P72+R72)/2*'Założenia,wskaźniki, listy'!$C$8,IF(L72="sieć ciepłownicza",(P72+R72)/2*'Założenia,wskaźniki, listy'!$C$9,IF(L72="sieć ciepłownicza",(P72+R72)/2*'Założenia,wskaźniki, listy'!$C$10,)))))))</f>
        <v>285</v>
      </c>
      <c r="AI72" s="640">
        <f>IF(N72="węgiel",Q72*'Założenia,wskaźniki, listy'!$C$4,IF(N72="gaz",Q72*'Założenia,wskaźniki, listy'!$C$5,IF(N72="drewno",Q72*'Założenia,wskaźniki, listy'!$C$6,IF(N72="pelet",Q72*'Założenia,wskaźniki, listy'!$C$7,IF(N72="olej opałowy",Q72*'Założenia,wskaźniki, listy'!$C$8,IF(N72="sieć ciepłownicza",Q72*'Założenia,wskaźniki, listy'!$C$9,IF(N72="sieć ciepłownicza",Q72*'Założenia,wskaźniki, listy'!$C$10,0)))))))</f>
        <v>0</v>
      </c>
      <c r="AJ72" s="640">
        <f>S72*'Założenia,wskaźniki, listy'!$B$64*1000</f>
        <v>0</v>
      </c>
      <c r="AK72" s="640">
        <f>(H72+I72)*'Założenia,wskaźniki, listy'!$D$64*12</f>
        <v>0</v>
      </c>
      <c r="AL72" s="640">
        <f>AK72*'Założenia,wskaźniki, listy'!$F$64</f>
        <v>0</v>
      </c>
      <c r="AM72" s="639">
        <f t="shared" si="128"/>
        <v>7.1999999999999998E-3</v>
      </c>
      <c r="AN72" s="639">
        <f t="shared" si="129"/>
        <v>7.0499999999999998E-3</v>
      </c>
      <c r="AO72" s="639">
        <f>V72+AC72+S72*'Założenia,wskaźniki, listy'!$J$46</f>
        <v>0</v>
      </c>
      <c r="AP72" s="639">
        <f t="shared" si="130"/>
        <v>1.8150000000000002E-6</v>
      </c>
      <c r="AQ72" s="639">
        <f t="shared" si="131"/>
        <v>1.65E-4</v>
      </c>
      <c r="AR72" s="639">
        <f t="shared" si="132"/>
        <v>1.2000000000000001E-3</v>
      </c>
      <c r="AS72" s="639">
        <f t="shared" si="133"/>
        <v>2.6909999999999998E-3</v>
      </c>
      <c r="AT72" s="647"/>
      <c r="AU72" s="647"/>
      <c r="AV72" s="624">
        <f t="shared" si="135"/>
        <v>0</v>
      </c>
      <c r="AW72" s="624" t="b">
        <f t="shared" si="136"/>
        <v>0</v>
      </c>
      <c r="AX72" s="624" t="b">
        <f t="shared" si="137"/>
        <v>0</v>
      </c>
      <c r="AY72" s="624" t="b">
        <f t="shared" si="138"/>
        <v>0</v>
      </c>
      <c r="AZ72" s="624" t="b">
        <f t="shared" si="139"/>
        <v>0</v>
      </c>
      <c r="BA72" s="624" t="b">
        <f t="shared" si="140"/>
        <v>0</v>
      </c>
      <c r="BB72" s="624" t="b">
        <f t="shared" si="141"/>
        <v>0</v>
      </c>
      <c r="BC72" s="624" t="b">
        <f t="shared" si="142"/>
        <v>0</v>
      </c>
      <c r="BD72" s="624" t="b">
        <f t="shared" si="143"/>
        <v>0</v>
      </c>
      <c r="BE72" s="624" t="b">
        <f t="shared" si="144"/>
        <v>0</v>
      </c>
      <c r="BF72" s="624" t="b">
        <f t="shared" si="145"/>
        <v>0</v>
      </c>
      <c r="BG72" s="624" t="b">
        <f t="shared" si="146"/>
        <v>0</v>
      </c>
      <c r="BH72" s="624">
        <f t="shared" si="147"/>
        <v>15</v>
      </c>
      <c r="BI72" s="624" t="b">
        <f t="shared" si="148"/>
        <v>0</v>
      </c>
      <c r="BJ72" s="624" t="b">
        <f t="shared" si="149"/>
        <v>0</v>
      </c>
      <c r="BK72" s="624" t="b">
        <f t="shared" si="150"/>
        <v>0</v>
      </c>
      <c r="BL72" s="624" t="b">
        <f t="shared" si="151"/>
        <v>0</v>
      </c>
      <c r="BM72" s="624" t="b">
        <f t="shared" si="152"/>
        <v>0</v>
      </c>
      <c r="BN72" s="624" t="b">
        <f t="shared" si="153"/>
        <v>0</v>
      </c>
      <c r="BO72" s="624" t="b">
        <f t="shared" si="154"/>
        <v>0</v>
      </c>
      <c r="BP72" s="624" t="b">
        <f t="shared" si="155"/>
        <v>0</v>
      </c>
      <c r="BQ72" s="624" t="b">
        <f t="shared" si="156"/>
        <v>0</v>
      </c>
    </row>
    <row r="73" spans="1:69">
      <c r="A73" s="1086">
        <v>35</v>
      </c>
      <c r="B73" s="872" t="s">
        <v>21</v>
      </c>
      <c r="C73" s="873" t="s">
        <v>621</v>
      </c>
      <c r="D73" s="645" t="s">
        <v>628</v>
      </c>
      <c r="E73" s="645">
        <v>38</v>
      </c>
      <c r="F73" s="644">
        <v>1938</v>
      </c>
      <c r="G73" s="644">
        <v>40</v>
      </c>
      <c r="H73" s="644"/>
      <c r="I73" s="635"/>
      <c r="J73" s="644">
        <f>IF(F73&lt;=1966,'Założenia,wskaźniki, listy'!$H$4,IF(F73&gt;1966,IF(F73&lt;=1985,'Założenia,wskaźniki, listy'!$H$5,IF(F73&gt;1985,IF(F73&lt;=1992,'Założenia,wskaźniki, listy'!$H$6,IF(F73&gt;1992,IF(F73&lt;=1996,'Założenia,wskaźniki, listy'!$H$7,IF(F73&gt;1996,IF(F73&lt;=2015,'Założenia,wskaźniki, listy'!$H$8)))))))))</f>
        <v>290</v>
      </c>
      <c r="K73" s="864" t="s">
        <v>31</v>
      </c>
      <c r="L73" s="644" t="s">
        <v>79</v>
      </c>
      <c r="M73" s="644">
        <v>3</v>
      </c>
      <c r="N73" s="644"/>
      <c r="O73" s="637">
        <f t="shared" si="134"/>
        <v>43.379999999999995</v>
      </c>
      <c r="P73" s="646">
        <f>IF(K73="kompletna",J73*G73*0.0036*'Założenia,wskaźniki, listy'!$P$9,IF(K73="częściowa",J73*G73*0.0036*'Założenia,wskaźniki, listy'!$P$10,IF(K73="brak",J73*G73*0.0036*'Założenia,wskaźniki, listy'!$P$11,0)))</f>
        <v>41.76</v>
      </c>
      <c r="Q73" s="638">
        <f>H73*'Założenia,wskaźniki, listy'!$L$15</f>
        <v>0</v>
      </c>
      <c r="R73" s="635">
        <f>IF(L73="węgiel",'Mieszkalne - baza'!M73*'Założenia,wskaźniki, listy'!$B$4,IF(L73="gaz",'Mieszkalne - baza'!M73*'Założenia,wskaźniki, listy'!$B$5,IF(L73="drewno",'Mieszkalne - baza'!M73*'Założenia,wskaźniki, listy'!$B$6,IF(L73="pelet",'Mieszkalne - baza'!M73*'Założenia,wskaźniki, listy'!$B$7,IF(L73="olej opałowy",'Mieszkalne - baza'!M73*'Założenia,wskaźniki, listy'!$B$8,IF(L73="sieć ciepłownicza",0,0))))))</f>
        <v>45</v>
      </c>
      <c r="S73" s="1084">
        <v>2.0304000000000002</v>
      </c>
      <c r="T73" s="639">
        <f>IF(L73="węgiel",R73*'Założenia,wskaźniki, listy'!$C$44,IF(L73="gaz",R73*'Założenia,wskaźniki, listy'!$D$44,IF(L73="drewno",R73*'Założenia,wskaźniki, listy'!$E$44,IF(L73="pelet",R73*'Założenia,wskaźniki, listy'!$F$44,IF(L73="olej opałowy",R73*'Założenia,wskaźniki, listy'!$G$44,IF(L73="sieć ciepłownicza",0,IF(L73="prąd",0,0)))))))</f>
        <v>2.1600000000000001E-2</v>
      </c>
      <c r="U73" s="639">
        <f>IF(L73="węgiel",R73*'Założenia,wskaźniki, listy'!$C$45,IF(L73="gaz",R73*'Założenia,wskaźniki, listy'!$D$45,IF(L73="drewno",R73*'Założenia,wskaźniki, listy'!$E$45,IF(L73="pelet",R73*'Założenia,wskaźniki, listy'!$F$45,IF(L73="olej opałowy",R73*'Założenia,wskaźniki, listy'!$G$45,IF(L73="sieć ciepłownicza",0,IF(L73="prąd",0,0)))))))</f>
        <v>2.1149999999999999E-2</v>
      </c>
      <c r="V73" s="639">
        <f>IF(L73="węgiel",R73*'Założenia,wskaźniki, listy'!$C$46,IF(L73="gaz",R73*'Założenia,wskaźniki, listy'!$D$46,IF(L73="drewno",R73*'Założenia,wskaźniki, listy'!$E$46,IF(L73="pelet",R73*'Założenia,wskaźniki, listy'!$F$46,IF(L73="olej opałowy",R73*'Założenia,wskaźniki, listy'!$G$46,IF(L73="sieć ciepłownicza",R73*'Założenia,wskaźniki, listy'!$H$46,IF(L73="prąd",R73*'Założenia,wskaźniki, listy'!$I$46,0)))))))</f>
        <v>0</v>
      </c>
      <c r="W73" s="639">
        <f>IF(L73="węgiel",R73*'Założenia,wskaźniki, listy'!$C$47,IF(L73="gaz",R73*'Założenia,wskaźniki, listy'!$D$47,IF(L73="drewno",R73*'Założenia,wskaźniki, listy'!$E$47,IF(L73="pelet",R73*'Założenia,wskaźniki, listy'!$F$47,IF(L73="olej opałowy",R73*'Założenia,wskaźniki, listy'!$G$47,IF(L73="sieć ciepłownicza",0,IF(L73="prąd",0,0)))))))</f>
        <v>5.4450000000000004E-6</v>
      </c>
      <c r="X73" s="639">
        <f>IF(L73="węgiel",R73*'Założenia,wskaźniki, listy'!$C$48, IF(L73="gaz",R73*'Założenia,wskaźniki, listy'!$D$48,IF(L73="drewno",R73*'Założenia,wskaźniki, listy'!$E$48,IF(L73="pelet",R73*'Założenia,wskaźniki, listy'!$F$48,IF(L73="olej opałowy",R73*'Założenia,wskaźniki, listy'!$G$48,IF(L73="sieć ciepłownicza",0,IF(L73="prąd",0,0)))))))</f>
        <v>4.95E-4</v>
      </c>
      <c r="Y73" s="639">
        <f>IF(L73="węgiel",R73*'Założenia,wskaźniki, listy'!$C$49, IF(L73="gaz",R73*'Założenia,wskaźniki, listy'!$D$49, IF(L73="drewno",R73*'Założenia,wskaźniki, listy'!$E$49,IF(L73="pelet",R73*'Założenia,wskaźniki, listy'!$F$49,IF(L73="olej opałowy",R73*'Założenia,wskaźniki, listy'!$G$49,IF(L73="sieć ciepłownicza",0,IF(L73="prąd",0,0)))))))</f>
        <v>3.6000000000000003E-3</v>
      </c>
      <c r="Z73" s="639">
        <f>IF(L73="węgiel",R73*'Założenia,wskaźniki, listy'!$C$50,IF(L73="gaz",R73*'Założenia,wskaźniki, listy'!$D$50, IF(L73="drewno",R73*'Założenia,wskaźniki, listy'!$E$50,IF(L73="pelet",R73*'Założenia,wskaźniki, listy'!$F$50,IF(L73="pelet",R73*'Założenia,wskaźniki, listy'!$F$50,IF(L73="olej opałowy",R73*'Założenia,wskaźniki, listy'!$G$50,IF(L73="sieć ciepłownicza",0,IF(L73="prąd",0,0))))))))</f>
        <v>8.0730000000000003E-3</v>
      </c>
      <c r="AA73" s="639">
        <f>IF(N73="węgiel",Q73*'Założenia,wskaźniki, listy'!$C$44,IF(N73="gaz",Q73*'Założenia,wskaźniki, listy'!$D$44,IF(N73="drewno",Q73*'Założenia,wskaźniki, listy'!$E$44,IF(N73="pelet",Q73*'Założenia,wskaźniki, listy'!$G$44,IF(N73="olej opałowy",Q73*'Założenia,wskaźniki, listy'!$G$44,IF(N73="sieć ciepłownicza",0,IF(N73="prąd",0,0)))))))</f>
        <v>0</v>
      </c>
      <c r="AB73" s="639">
        <f>IF(N73="węgiel",Q73*'Założenia,wskaźniki, listy'!$C$45,IF(N73="gaz",Q73*'Założenia,wskaźniki, listy'!$D$45,IF(N73="drewno",Q73*'Założenia,wskaźniki, listy'!$E$45,IF(N73="pelet",Q73*'Założenia,wskaźniki, listy'!$G$45,IF(N73="olej opałowy",Q73*'Założenia,wskaźniki, listy'!$G$45,IF(N73="sieć ciepłownicza",0,IF(N73="prąd",0,0)))))))</f>
        <v>0</v>
      </c>
      <c r="AC73" s="639">
        <f>IF(N73="węgiel",Q73*'Założenia,wskaźniki, listy'!$C$46,IF(N73="gaz",Q73*'Założenia,wskaźniki, listy'!$D$46,IF(N73="drewno",Q73*'Założenia,wskaźniki, listy'!$E$46,IF(N73="pelet",Q73*'Założenia,wskaźniki, listy'!$G$46,IF(N73="olej opałowy",Q73*'Założenia,wskaźniki, listy'!$G$46,IF(N73="sieć ciepłownicza",0,IF(N73="prąd",0,0)))))))</f>
        <v>0</v>
      </c>
      <c r="AD73" s="639">
        <f>IF(N73="węgiel",Q73*'Założenia,wskaźniki, listy'!$C$47,IF(N73="gaz",Q73*'Założenia,wskaźniki, listy'!$D$47,IF(N73="drewno",Q73*'Założenia,wskaźniki, listy'!$E$47,IF(N73="pelet",Q73*'Założenia,wskaźniki, listy'!$G$47,IF(N73="olej opałowy",Q73*'Założenia,wskaźniki, listy'!$G$47,IF(N73="sieć ciepłownicza",0,IF(N73="prąd",0,0)))))))</f>
        <v>0</v>
      </c>
      <c r="AE73" s="639">
        <f>IF(N73="węgiel",Q73*'Założenia,wskaźniki, listy'!$C$48,IF(N73="gaz",Q73*'Założenia,wskaźniki, listy'!$D$48,IF(N73="drewno",Q73*'Założenia,wskaźniki, listy'!$E$48,IF(N73="pelet",Q73*'Założenia,wskaźniki, listy'!$G$48,IF(N73="olej opałowy",Q73*'Założenia,wskaźniki, listy'!$G$48,IF(N73="sieć ciepłownicza",0,IF(N73="prąd",0,0)))))))</f>
        <v>0</v>
      </c>
      <c r="AF73" s="639">
        <f>IF(N73="węgiel",Q73*'Założenia,wskaźniki, listy'!$C$49,IF(N73="gaz",Q73*'Założenia,wskaźniki, listy'!$D$49,IF(N73="drewno",Q73*'Założenia,wskaźniki, listy'!$E$49,IF(N73="pelet",Q73*'Założenia,wskaźniki, listy'!$G$49,IF(N73="olej opałowy",Q73*'Założenia,wskaźniki, listy'!$G$49,IF(N73="sieć ciepłownicza",0,IF(N73="prąd",0,0)))))))</f>
        <v>0</v>
      </c>
      <c r="AG73" s="639">
        <f>IF(N73="węgiel",Q73*'Założenia,wskaźniki, listy'!$C$50,IF(N73="gaz",Q73*'Założenia,wskaźniki, listy'!$D$50,IF(N73="drewno",Q73*'Założenia,wskaźniki, listy'!$E$50,IF(N73="pelet",Q73*'Założenia,wskaźniki, listy'!$G$50,IF(N73="olej opałowy",Q73*'Założenia,wskaźniki, listy'!$G$50,IF(N73="sieć ciepłownicza",0,IF(N73="prąd",0,0)))))))</f>
        <v>0</v>
      </c>
      <c r="AH73" s="640">
        <f>IF(L73="węgiel",(P73+R73)/2*'Założenia,wskaźniki, listy'!$C$4,IF(L73="gaz",(P73+R73)/2*'Założenia,wskaźniki, listy'!$C$5,IF(L73="drewno",(P73+R73)/2*'Założenia,wskaźniki, listy'!$C$6,IF(L73="pelet",(P73+R73)/2*'Założenia,wskaźniki, listy'!$C$7,IF(L73="olej opałowy",(P73+R73)/2*'Założenia,wskaźniki, listy'!$C$8,IF(L73="sieć ciepłownicza",(P73+R73)/2*'Założenia,wskaźniki, listy'!$C$9,IF(L73="sieć ciepłownicza",(P73+R73)/2*'Założenia,wskaźniki, listy'!$C$10,)))))))</f>
        <v>1648.4399999999998</v>
      </c>
      <c r="AI73" s="640">
        <f>IF(N73="węgiel",Q73*'Założenia,wskaźniki, listy'!$C$4,IF(N73="gaz",Q73*'Założenia,wskaźniki, listy'!$C$5,IF(N73="drewno",Q73*'Założenia,wskaźniki, listy'!$C$6,IF(N73="pelet",Q73*'Założenia,wskaźniki, listy'!$C$7,IF(N73="olej opałowy",Q73*'Założenia,wskaźniki, listy'!$C$8,IF(N73="sieć ciepłownicza",Q73*'Założenia,wskaźniki, listy'!$C$9,IF(N73="sieć ciepłownicza",Q73*'Założenia,wskaźniki, listy'!$C$10,0)))))))</f>
        <v>0</v>
      </c>
      <c r="AJ73" s="640">
        <f>S73*'Założenia,wskaźniki, listy'!$B$64*1000</f>
        <v>1441.5840000000001</v>
      </c>
      <c r="AK73" s="640">
        <f>(H73+I73)*'Założenia,wskaźniki, listy'!$D$64*12</f>
        <v>0</v>
      </c>
      <c r="AL73" s="640">
        <f>AK73*'Założenia,wskaźniki, listy'!$F$64</f>
        <v>0</v>
      </c>
      <c r="AM73" s="639">
        <f t="shared" si="128"/>
        <v>2.1600000000000001E-2</v>
      </c>
      <c r="AN73" s="639">
        <f t="shared" si="129"/>
        <v>2.1149999999999999E-2</v>
      </c>
      <c r="AO73" s="639">
        <f>V73+AC73+S73*'Założenia,wskaźniki, listy'!$J$46</f>
        <v>1.6882776000000002</v>
      </c>
      <c r="AP73" s="639">
        <f t="shared" si="130"/>
        <v>5.4450000000000004E-6</v>
      </c>
      <c r="AQ73" s="639">
        <f t="shared" si="131"/>
        <v>4.95E-4</v>
      </c>
      <c r="AR73" s="639">
        <f t="shared" si="132"/>
        <v>3.6000000000000003E-3</v>
      </c>
      <c r="AS73" s="639">
        <f t="shared" si="133"/>
        <v>8.0730000000000003E-3</v>
      </c>
      <c r="AT73" s="647"/>
      <c r="AU73" s="647"/>
      <c r="AV73" s="624">
        <f t="shared" si="135"/>
        <v>40</v>
      </c>
      <c r="AW73" s="624" t="b">
        <f t="shared" si="136"/>
        <v>0</v>
      </c>
      <c r="AX73" s="624" t="b">
        <f t="shared" si="137"/>
        <v>0</v>
      </c>
      <c r="AY73" s="624" t="b">
        <f t="shared" si="138"/>
        <v>0</v>
      </c>
      <c r="AZ73" s="624" t="b">
        <f t="shared" si="139"/>
        <v>0</v>
      </c>
      <c r="BA73" s="624" t="b">
        <f t="shared" si="140"/>
        <v>0</v>
      </c>
      <c r="BB73" s="624" t="b">
        <f t="shared" si="141"/>
        <v>0</v>
      </c>
      <c r="BC73" s="624" t="b">
        <f t="shared" si="142"/>
        <v>0</v>
      </c>
      <c r="BD73" s="624" t="b">
        <f t="shared" si="143"/>
        <v>0</v>
      </c>
      <c r="BE73" s="624" t="b">
        <f t="shared" si="144"/>
        <v>0</v>
      </c>
      <c r="BF73" s="624" t="b">
        <f t="shared" si="145"/>
        <v>0</v>
      </c>
      <c r="BG73" s="624" t="b">
        <f t="shared" si="146"/>
        <v>0</v>
      </c>
      <c r="BH73" s="624">
        <f t="shared" si="147"/>
        <v>45</v>
      </c>
      <c r="BI73" s="624" t="b">
        <f t="shared" si="148"/>
        <v>0</v>
      </c>
      <c r="BJ73" s="624" t="b">
        <f t="shared" si="149"/>
        <v>0</v>
      </c>
      <c r="BK73" s="624" t="b">
        <f t="shared" si="150"/>
        <v>0</v>
      </c>
      <c r="BL73" s="624" t="b">
        <f t="shared" si="151"/>
        <v>0</v>
      </c>
      <c r="BM73" s="624" t="b">
        <f t="shared" si="152"/>
        <v>0</v>
      </c>
      <c r="BN73" s="624" t="b">
        <f t="shared" si="153"/>
        <v>0</v>
      </c>
      <c r="BO73" s="624" t="b">
        <f t="shared" si="154"/>
        <v>0</v>
      </c>
      <c r="BP73" s="624" t="b">
        <f t="shared" si="155"/>
        <v>0</v>
      </c>
      <c r="BQ73" s="624" t="b">
        <f t="shared" si="156"/>
        <v>0</v>
      </c>
    </row>
    <row r="74" spans="1:69">
      <c r="A74" s="1087"/>
      <c r="B74" s="872"/>
      <c r="C74" s="872"/>
      <c r="D74" s="645"/>
      <c r="E74" s="645"/>
      <c r="F74" s="644"/>
      <c r="G74" s="644"/>
      <c r="H74" s="644"/>
      <c r="I74" s="635"/>
      <c r="J74" s="644">
        <f>IF(F74&lt;=1966,'Założenia,wskaźniki, listy'!$H$4,IF(F74&gt;1966,IF(F74&lt;=1985,'Założenia,wskaźniki, listy'!$H$5,IF(F74&gt;1985,IF(F74&lt;=1992,'Założenia,wskaźniki, listy'!$H$6,IF(F74&gt;1992,IF(F74&lt;=1996,'Założenia,wskaźniki, listy'!$H$7,IF(F74&gt;1996,IF(F74&lt;=2015,'Założenia,wskaźniki, listy'!$H$8)))))))))</f>
        <v>290</v>
      </c>
      <c r="K74" s="872"/>
      <c r="L74" s="644"/>
      <c r="M74" s="644"/>
      <c r="N74" s="644"/>
      <c r="O74" s="637">
        <f t="shared" si="134"/>
        <v>0</v>
      </c>
      <c r="P74" s="646">
        <f>IF(K74="kompletna",J74*G74*0.0036*'Założenia,wskaźniki, listy'!$P$9,IF(K74="częściowa",J74*G74*0.0036*'Założenia,wskaźniki, listy'!$P$10,IF(K74="brak",J74*G74*0.0036*'Założenia,wskaźniki, listy'!$P$11,0)))</f>
        <v>0</v>
      </c>
      <c r="Q74" s="638">
        <f>H74*'Założenia,wskaźniki, listy'!$L$15</f>
        <v>0</v>
      </c>
      <c r="R74" s="635">
        <f>IF(L74="węgiel",'Mieszkalne - baza'!M74*'Założenia,wskaźniki, listy'!$B$4,IF(L74="gaz",'Mieszkalne - baza'!M74*'Założenia,wskaźniki, listy'!$B$5,IF(L74="drewno",'Mieszkalne - baza'!M74*'Założenia,wskaźniki, listy'!$B$6,IF(L74="pelet",'Mieszkalne - baza'!M74*'Założenia,wskaźniki, listy'!$B$7,IF(L74="olej opałowy",'Mieszkalne - baza'!M74*'Założenia,wskaźniki, listy'!$B$8,IF(L74="sieć ciepłownicza",0,0))))))</f>
        <v>0</v>
      </c>
      <c r="S74" s="1085"/>
      <c r="T74" s="639">
        <f>IF(L74="węgiel",R74*'Założenia,wskaźniki, listy'!$C$44,IF(L74="gaz",R74*'Założenia,wskaźniki, listy'!$D$44,IF(L74="drewno",R74*'Założenia,wskaźniki, listy'!$E$44,IF(L74="pelet",R74*'Założenia,wskaźniki, listy'!$F$44,IF(L74="olej opałowy",R74*'Założenia,wskaźniki, listy'!$G$44,IF(L74="sieć ciepłownicza",0,IF(L74="prąd",0,0)))))))</f>
        <v>0</v>
      </c>
      <c r="U74" s="639">
        <f>IF(L74="węgiel",R74*'Założenia,wskaźniki, listy'!$C$45,IF(L74="gaz",R74*'Założenia,wskaźniki, listy'!$D$45,IF(L74="drewno",R74*'Założenia,wskaźniki, listy'!$E$45,IF(L74="pelet",R74*'Założenia,wskaźniki, listy'!$F$45,IF(L74="olej opałowy",R74*'Założenia,wskaźniki, listy'!$G$45,IF(L74="sieć ciepłownicza",0,IF(L74="prąd",0,0)))))))</f>
        <v>0</v>
      </c>
      <c r="V74" s="639">
        <f>IF(L74="węgiel",R74*'Założenia,wskaźniki, listy'!$C$46,IF(L74="gaz",R74*'Założenia,wskaźniki, listy'!$D$46,IF(L74="drewno",R74*'Założenia,wskaźniki, listy'!$E$46,IF(L74="pelet",R74*'Założenia,wskaźniki, listy'!$F$46,IF(L74="olej opałowy",R74*'Założenia,wskaźniki, listy'!$G$46,IF(L74="sieć ciepłownicza",R74*'Założenia,wskaźniki, listy'!$H$46,IF(L74="prąd",R74*'Założenia,wskaźniki, listy'!$I$46,0)))))))</f>
        <v>0</v>
      </c>
      <c r="W74" s="639">
        <f>IF(L74="węgiel",R74*'Założenia,wskaźniki, listy'!$C$47,IF(L74="gaz",R74*'Założenia,wskaźniki, listy'!$D$47,IF(L74="drewno",R74*'Założenia,wskaźniki, listy'!$E$47,IF(L74="pelet",R74*'Założenia,wskaźniki, listy'!$F$47,IF(L74="olej opałowy",R74*'Założenia,wskaźniki, listy'!$G$47,IF(L74="sieć ciepłownicza",0,IF(L74="prąd",0,0)))))))</f>
        <v>0</v>
      </c>
      <c r="X74" s="639">
        <f>IF(L74="węgiel",R74*'Założenia,wskaźniki, listy'!$C$48, IF(L74="gaz",R74*'Założenia,wskaźniki, listy'!$D$48,IF(L74="drewno",R74*'Założenia,wskaźniki, listy'!$E$48,IF(L74="pelet",R74*'Założenia,wskaźniki, listy'!$F$48,IF(L74="olej opałowy",R74*'Założenia,wskaźniki, listy'!$G$48,IF(L74="sieć ciepłownicza",0,IF(L74="prąd",0,0)))))))</f>
        <v>0</v>
      </c>
      <c r="Y74" s="639">
        <f>IF(L74="węgiel",R74*'Założenia,wskaźniki, listy'!$C$49, IF(L74="gaz",R74*'Założenia,wskaźniki, listy'!$D$49, IF(L74="drewno",R74*'Założenia,wskaźniki, listy'!$E$49,IF(L74="pelet",R74*'Założenia,wskaźniki, listy'!$F$49,IF(L74="olej opałowy",R74*'Założenia,wskaźniki, listy'!$G$49,IF(L74="sieć ciepłownicza",0,IF(L74="prąd",0,0)))))))</f>
        <v>0</v>
      </c>
      <c r="Z74" s="639">
        <f>IF(L74="węgiel",R74*'Założenia,wskaźniki, listy'!$C$50,IF(L74="gaz",R74*'Założenia,wskaźniki, listy'!$D$50, IF(L74="drewno",R74*'Założenia,wskaźniki, listy'!$E$50,IF(L74="pelet",R74*'Założenia,wskaźniki, listy'!$F$50,IF(L74="pelet",R74*'Założenia,wskaźniki, listy'!$F$50,IF(L74="olej opałowy",R74*'Założenia,wskaźniki, listy'!$G$50,IF(L74="sieć ciepłownicza",0,IF(L74="prąd",0,0))))))))</f>
        <v>0</v>
      </c>
      <c r="AA74" s="639">
        <f>IF(N74="węgiel",Q74*'Założenia,wskaźniki, listy'!$C$44,IF(N74="gaz",Q74*'Założenia,wskaźniki, listy'!$D$44,IF(N74="drewno",Q74*'Założenia,wskaźniki, listy'!$E$44,IF(N74="pelet",Q74*'Założenia,wskaźniki, listy'!$G$44,IF(N74="olej opałowy",Q74*'Założenia,wskaźniki, listy'!$G$44,IF(N74="sieć ciepłownicza",0,IF(N74="prąd",0,0)))))))</f>
        <v>0</v>
      </c>
      <c r="AB74" s="639">
        <f>IF(N74="węgiel",Q74*'Założenia,wskaźniki, listy'!$C$45,IF(N74="gaz",Q74*'Założenia,wskaźniki, listy'!$D$45,IF(N74="drewno",Q74*'Założenia,wskaźniki, listy'!$E$45,IF(N74="pelet",Q74*'Założenia,wskaźniki, listy'!$G$45,IF(N74="olej opałowy",Q74*'Założenia,wskaźniki, listy'!$G$45,IF(N74="sieć ciepłownicza",0,IF(N74="prąd",0,0)))))))</f>
        <v>0</v>
      </c>
      <c r="AC74" s="639">
        <f>IF(N74="węgiel",Q74*'Założenia,wskaźniki, listy'!$C$46,IF(N74="gaz",Q74*'Założenia,wskaźniki, listy'!$D$46,IF(N74="drewno",Q74*'Założenia,wskaźniki, listy'!$E$46,IF(N74="pelet",Q74*'Założenia,wskaźniki, listy'!$G$46,IF(N74="olej opałowy",Q74*'Założenia,wskaźniki, listy'!$G$46,IF(N74="sieć ciepłownicza",0,IF(N74="prąd",0,0)))))))</f>
        <v>0</v>
      </c>
      <c r="AD74" s="639">
        <f>IF(N74="węgiel",Q74*'Założenia,wskaźniki, listy'!$C$47,IF(N74="gaz",Q74*'Założenia,wskaźniki, listy'!$D$47,IF(N74="drewno",Q74*'Założenia,wskaźniki, listy'!$E$47,IF(N74="pelet",Q74*'Założenia,wskaźniki, listy'!$G$47,IF(N74="olej opałowy",Q74*'Założenia,wskaźniki, listy'!$G$47,IF(N74="sieć ciepłownicza",0,IF(N74="prąd",0,0)))))))</f>
        <v>0</v>
      </c>
      <c r="AE74" s="639">
        <f>IF(N74="węgiel",Q74*'Założenia,wskaźniki, listy'!$C$48,IF(N74="gaz",Q74*'Założenia,wskaźniki, listy'!$D$48,IF(N74="drewno",Q74*'Założenia,wskaźniki, listy'!$E$48,IF(N74="pelet",Q74*'Założenia,wskaźniki, listy'!$G$48,IF(N74="olej opałowy",Q74*'Założenia,wskaźniki, listy'!$G$48,IF(N74="sieć ciepłownicza",0,IF(N74="prąd",0,0)))))))</f>
        <v>0</v>
      </c>
      <c r="AF74" s="639">
        <f>IF(N74="węgiel",Q74*'Założenia,wskaźniki, listy'!$C$49,IF(N74="gaz",Q74*'Założenia,wskaźniki, listy'!$D$49,IF(N74="drewno",Q74*'Założenia,wskaźniki, listy'!$E$49,IF(N74="pelet",Q74*'Założenia,wskaźniki, listy'!$G$49,IF(N74="olej opałowy",Q74*'Założenia,wskaźniki, listy'!$G$49,IF(N74="sieć ciepłownicza",0,IF(N74="prąd",0,0)))))))</f>
        <v>0</v>
      </c>
      <c r="AG74" s="639">
        <f>IF(N74="węgiel",Q74*'Założenia,wskaźniki, listy'!$C$50,IF(N74="gaz",Q74*'Założenia,wskaźniki, listy'!$D$50,IF(N74="drewno",Q74*'Założenia,wskaźniki, listy'!$E$50,IF(N74="pelet",Q74*'Założenia,wskaźniki, listy'!$G$50,IF(N74="olej opałowy",Q74*'Założenia,wskaźniki, listy'!$G$50,IF(N74="sieć ciepłownicza",0,IF(N74="prąd",0,0)))))))</f>
        <v>0</v>
      </c>
      <c r="AH74" s="640">
        <f>IF(L74="węgiel",(P74+R74)/2*'Założenia,wskaźniki, listy'!$C$4,IF(L74="gaz",(P74+R74)/2*'Założenia,wskaźniki, listy'!$C$5,IF(L74="drewno",(P74+R74)/2*'Założenia,wskaźniki, listy'!$C$6,IF(L74="pelet",(P74+R74)/2*'Założenia,wskaźniki, listy'!$C$7,IF(L74="olej opałowy",(P74+R74)/2*'Założenia,wskaźniki, listy'!$C$8,IF(L74="sieć ciepłownicza",(P74+R74)/2*'Założenia,wskaźniki, listy'!$C$9,IF(L74="sieć ciepłownicza",(P74+R74)/2*'Założenia,wskaźniki, listy'!$C$10,)))))))</f>
        <v>0</v>
      </c>
      <c r="AI74" s="640">
        <f>IF(N74="węgiel",Q74*'Założenia,wskaźniki, listy'!$C$4,IF(N74="gaz",Q74*'Założenia,wskaźniki, listy'!$C$5,IF(N74="drewno",Q74*'Założenia,wskaźniki, listy'!$C$6,IF(N74="pelet",Q74*'Założenia,wskaźniki, listy'!$C$7,IF(N74="olej opałowy",Q74*'Założenia,wskaźniki, listy'!$C$8,IF(N74="sieć ciepłownicza",Q74*'Założenia,wskaźniki, listy'!$C$9,IF(N74="sieć ciepłownicza",Q74*'Założenia,wskaźniki, listy'!$C$10,0)))))))</f>
        <v>0</v>
      </c>
      <c r="AJ74" s="640">
        <f>S74*'Założenia,wskaźniki, listy'!$B$64*1000</f>
        <v>0</v>
      </c>
      <c r="AK74" s="640">
        <f>(H74+I74)*'Założenia,wskaźniki, listy'!$D$64*12</f>
        <v>0</v>
      </c>
      <c r="AL74" s="640">
        <f>AK74*'Założenia,wskaźniki, listy'!$F$64</f>
        <v>0</v>
      </c>
      <c r="AM74" s="639">
        <f t="shared" si="128"/>
        <v>0</v>
      </c>
      <c r="AN74" s="639">
        <f t="shared" si="129"/>
        <v>0</v>
      </c>
      <c r="AO74" s="639">
        <f>V74+AC74+S74*'Założenia,wskaźniki, listy'!$J$46</f>
        <v>0</v>
      </c>
      <c r="AP74" s="639">
        <f t="shared" si="130"/>
        <v>0</v>
      </c>
      <c r="AQ74" s="639">
        <f t="shared" si="131"/>
        <v>0</v>
      </c>
      <c r="AR74" s="639">
        <f t="shared" si="132"/>
        <v>0</v>
      </c>
      <c r="AS74" s="639">
        <f t="shared" si="133"/>
        <v>0</v>
      </c>
      <c r="AT74" s="647"/>
      <c r="AU74" s="647"/>
      <c r="AV74" s="624">
        <f t="shared" si="135"/>
        <v>0</v>
      </c>
      <c r="AW74" s="624" t="b">
        <f t="shared" si="136"/>
        <v>0</v>
      </c>
      <c r="AX74" s="624" t="b">
        <f t="shared" si="137"/>
        <v>0</v>
      </c>
      <c r="AY74" s="624" t="b">
        <f t="shared" si="138"/>
        <v>0</v>
      </c>
      <c r="AZ74" s="624" t="b">
        <f t="shared" si="139"/>
        <v>0</v>
      </c>
      <c r="BA74" s="624" t="b">
        <f t="shared" si="140"/>
        <v>0</v>
      </c>
      <c r="BB74" s="624" t="b">
        <f t="shared" si="141"/>
        <v>0</v>
      </c>
      <c r="BC74" s="624" t="b">
        <f t="shared" si="142"/>
        <v>0</v>
      </c>
      <c r="BD74" s="624" t="b">
        <f t="shared" si="143"/>
        <v>0</v>
      </c>
      <c r="BE74" s="624" t="b">
        <f t="shared" si="144"/>
        <v>0</v>
      </c>
      <c r="BF74" s="624" t="b">
        <f t="shared" si="145"/>
        <v>0</v>
      </c>
      <c r="BG74" s="624" t="b">
        <f t="shared" si="146"/>
        <v>0</v>
      </c>
      <c r="BH74" s="624" t="b">
        <f t="shared" si="147"/>
        <v>0</v>
      </c>
      <c r="BI74" s="624" t="b">
        <f t="shared" si="148"/>
        <v>0</v>
      </c>
      <c r="BJ74" s="624" t="b">
        <f t="shared" si="149"/>
        <v>0</v>
      </c>
      <c r="BK74" s="624" t="b">
        <f t="shared" si="150"/>
        <v>0</v>
      </c>
      <c r="BL74" s="624" t="b">
        <f t="shared" si="151"/>
        <v>0</v>
      </c>
      <c r="BM74" s="624" t="b">
        <f t="shared" si="152"/>
        <v>0</v>
      </c>
      <c r="BN74" s="624" t="b">
        <f t="shared" si="153"/>
        <v>0</v>
      </c>
      <c r="BO74" s="624" t="b">
        <f t="shared" si="154"/>
        <v>0</v>
      </c>
      <c r="BP74" s="624" t="b">
        <f t="shared" si="155"/>
        <v>0</v>
      </c>
      <c r="BQ74" s="624" t="b">
        <f t="shared" si="156"/>
        <v>0</v>
      </c>
    </row>
    <row r="75" spans="1:69">
      <c r="A75" s="1086">
        <v>36</v>
      </c>
      <c r="B75" s="872" t="s">
        <v>21</v>
      </c>
      <c r="C75" s="873" t="s">
        <v>621</v>
      </c>
      <c r="D75" s="645" t="s">
        <v>628</v>
      </c>
      <c r="E75" s="645">
        <v>37</v>
      </c>
      <c r="F75" s="644">
        <v>1983</v>
      </c>
      <c r="G75" s="644">
        <v>120</v>
      </c>
      <c r="H75" s="644"/>
      <c r="I75" s="635"/>
      <c r="J75" s="644">
        <f>IF(F75&lt;=1966,'Założenia,wskaźniki, listy'!$H$4,IF(F75&gt;1966,IF(F75&lt;=1985,'Założenia,wskaźniki, listy'!$H$5,IF(F75&gt;1985,IF(F75&lt;=1992,'Założenia,wskaźniki, listy'!$H$6,IF(F75&gt;1992,IF(F75&lt;=1996,'Założenia,wskaźniki, listy'!$H$7,IF(F75&gt;1996,IF(F75&lt;=2015,'Założenia,wskaźniki, listy'!$H$8)))))))))</f>
        <v>250</v>
      </c>
      <c r="K75" s="864" t="s">
        <v>31</v>
      </c>
      <c r="L75" s="644" t="s">
        <v>8</v>
      </c>
      <c r="M75" s="644">
        <v>4</v>
      </c>
      <c r="N75" s="644"/>
      <c r="O75" s="637">
        <f t="shared" si="134"/>
        <v>99.22</v>
      </c>
      <c r="P75" s="646">
        <f>IF(K75="kompletna",J75*G75*0.0036*'Założenia,wskaźniki, listy'!$P$9,IF(K75="częściowa",J75*G75*0.0036*'Założenia,wskaźniki, listy'!$P$10,IF(K75="brak",J75*G75*0.0036*'Założenia,wskaźniki, listy'!$P$11,0)))</f>
        <v>108</v>
      </c>
      <c r="Q75" s="638">
        <f>H75*'Założenia,wskaźniki, listy'!$L$15</f>
        <v>0</v>
      </c>
      <c r="R75" s="635">
        <f>IF(L75="węgiel",'Mieszkalne - baza'!M75*'Założenia,wskaźniki, listy'!$B$4,IF(L75="gaz",'Mieszkalne - baza'!M75*'Założenia,wskaźniki, listy'!$B$5,IF(L75="drewno",'Mieszkalne - baza'!M75*'Założenia,wskaźniki, listy'!$B$6,IF(L75="pelet",'Mieszkalne - baza'!M75*'Założenia,wskaźniki, listy'!$B$7,IF(L75="olej opałowy",'Mieszkalne - baza'!M75*'Założenia,wskaźniki, listy'!$B$8,IF(L75="sieć ciepłownicza",0,0))))))</f>
        <v>90.44</v>
      </c>
      <c r="S75" s="1084">
        <v>2.2560000000000002</v>
      </c>
      <c r="T75" s="639">
        <f>IF(L75="węgiel",R75*'Założenia,wskaźniki, listy'!$C$44,IF(L75="gaz",R75*'Założenia,wskaźniki, listy'!$D$44,IF(L75="drewno",R75*'Założenia,wskaźniki, listy'!$E$44,IF(L75="pelet",R75*'Założenia,wskaźniki, listy'!$F$44,IF(L75="olej opałowy",R75*'Założenia,wskaźniki, listy'!$G$44,IF(L75="sieć ciepłownicza",0,IF(L75="prąd",0,0)))))))</f>
        <v>2.0348999999999999E-2</v>
      </c>
      <c r="U75" s="639">
        <f>IF(L75="węgiel",R75*'Założenia,wskaźniki, listy'!$C$45,IF(L75="gaz",R75*'Założenia,wskaźniki, listy'!$D$45,IF(L75="drewno",R75*'Założenia,wskaźniki, listy'!$E$45,IF(L75="pelet",R75*'Założenia,wskaźniki, listy'!$F$45,IF(L75="olej opałowy",R75*'Założenia,wskaźniki, listy'!$G$45,IF(L75="sieć ciepłownicza",0,IF(L75="prąd",0,0)))))))</f>
        <v>1.8178440000000001E-2</v>
      </c>
      <c r="V75" s="639">
        <f>IF(L75="węgiel",R75*'Założenia,wskaźniki, listy'!$C$46,IF(L75="gaz",R75*'Założenia,wskaźniki, listy'!$D$46,IF(L75="drewno",R75*'Założenia,wskaźniki, listy'!$E$46,IF(L75="pelet",R75*'Założenia,wskaźniki, listy'!$F$46,IF(L75="olej opałowy",R75*'Założenia,wskaźniki, listy'!$G$46,IF(L75="sieć ciepłownicza",R75*'Założenia,wskaźniki, listy'!$H$46,IF(L75="prąd",R75*'Założenia,wskaźniki, listy'!$I$46,0)))))))</f>
        <v>8.4778455999999984</v>
      </c>
      <c r="W75" s="639">
        <f>IF(L75="węgiel",R75*'Założenia,wskaźniki, listy'!$C$47,IF(L75="gaz",R75*'Założenia,wskaźniki, listy'!$D$47,IF(L75="drewno",R75*'Założenia,wskaźniki, listy'!$E$47,IF(L75="pelet",R75*'Założenia,wskaźniki, listy'!$F$47,IF(L75="olej opałowy",R75*'Założenia,wskaźniki, listy'!$G$47,IF(L75="sieć ciepłownicza",0,IF(L75="prąd",0,0)))))))</f>
        <v>2.4418800000000001E-5</v>
      </c>
      <c r="X75" s="639">
        <f>IF(L75="węgiel",R75*'Założenia,wskaźniki, listy'!$C$48, IF(L75="gaz",R75*'Założenia,wskaźniki, listy'!$D$48,IF(L75="drewno",R75*'Założenia,wskaźniki, listy'!$E$48,IF(L75="pelet",R75*'Założenia,wskaźniki, listy'!$F$48,IF(L75="olej opałowy",R75*'Założenia,wskaźniki, listy'!$G$48,IF(L75="sieć ciepłownicza",0,IF(L75="prąd",0,0)))))))</f>
        <v>8.1395999999999996E-2</v>
      </c>
      <c r="Y75" s="639">
        <f>IF(L75="węgiel",R75*'Założenia,wskaźniki, listy'!$C$49, IF(L75="gaz",R75*'Założenia,wskaźniki, listy'!$D$49, IF(L75="drewno",R75*'Założenia,wskaźniki, listy'!$E$49,IF(L75="pelet",R75*'Założenia,wskaźniki, listy'!$F$49,IF(L75="olej opałowy",R75*'Założenia,wskaźniki, listy'!$G$49,IF(L75="sieć ciepłownicza",0,IF(L75="prąd",0,0)))))))</f>
        <v>1.4289519999999998E-2</v>
      </c>
      <c r="Z75" s="639">
        <f>IF(L75="węgiel",R75*'Założenia,wskaźniki, listy'!$C$50,IF(L75="gaz",R75*'Założenia,wskaźniki, listy'!$D$50, IF(L75="drewno",R75*'Założenia,wskaźniki, listy'!$E$50,IF(L75="pelet",R75*'Założenia,wskaźniki, listy'!$F$50,IF(L75="pelet",R75*'Założenia,wskaźniki, listy'!$F$50,IF(L75="olej opałowy",R75*'Założenia,wskaźniki, listy'!$G$50,IF(L75="sieć ciepłownicza",0,IF(L75="prąd",0,0))))))))</f>
        <v>0.18193115780062583</v>
      </c>
      <c r="AA75" s="639">
        <f>IF(N75="węgiel",Q75*'Założenia,wskaźniki, listy'!$C$44,IF(N75="gaz",Q75*'Założenia,wskaźniki, listy'!$D$44,IF(N75="drewno",Q75*'Założenia,wskaźniki, listy'!$E$44,IF(N75="pelet",Q75*'Założenia,wskaźniki, listy'!$G$44,IF(N75="olej opałowy",Q75*'Założenia,wskaźniki, listy'!$G$44,IF(N75="sieć ciepłownicza",0,IF(N75="prąd",0,0)))))))</f>
        <v>0</v>
      </c>
      <c r="AB75" s="639">
        <f>IF(N75="węgiel",Q75*'Założenia,wskaźniki, listy'!$C$45,IF(N75="gaz",Q75*'Założenia,wskaźniki, listy'!$D$45,IF(N75="drewno",Q75*'Założenia,wskaźniki, listy'!$E$45,IF(N75="pelet",Q75*'Założenia,wskaźniki, listy'!$G$45,IF(N75="olej opałowy",Q75*'Założenia,wskaźniki, listy'!$G$45,IF(N75="sieć ciepłownicza",0,IF(N75="prąd",0,0)))))))</f>
        <v>0</v>
      </c>
      <c r="AC75" s="639">
        <f>IF(N75="węgiel",Q75*'Założenia,wskaźniki, listy'!$C$46,IF(N75="gaz",Q75*'Założenia,wskaźniki, listy'!$D$46,IF(N75="drewno",Q75*'Założenia,wskaźniki, listy'!$E$46,IF(N75="pelet",Q75*'Założenia,wskaźniki, listy'!$G$46,IF(N75="olej opałowy",Q75*'Założenia,wskaźniki, listy'!$G$46,IF(N75="sieć ciepłownicza",0,IF(N75="prąd",0,0)))))))</f>
        <v>0</v>
      </c>
      <c r="AD75" s="639">
        <f>IF(N75="węgiel",Q75*'Założenia,wskaźniki, listy'!$C$47,IF(N75="gaz",Q75*'Założenia,wskaźniki, listy'!$D$47,IF(N75="drewno",Q75*'Założenia,wskaźniki, listy'!$E$47,IF(N75="pelet",Q75*'Założenia,wskaźniki, listy'!$G$47,IF(N75="olej opałowy",Q75*'Założenia,wskaźniki, listy'!$G$47,IF(N75="sieć ciepłownicza",0,IF(N75="prąd",0,0)))))))</f>
        <v>0</v>
      </c>
      <c r="AE75" s="639">
        <f>IF(N75="węgiel",Q75*'Założenia,wskaźniki, listy'!$C$48,IF(N75="gaz",Q75*'Założenia,wskaźniki, listy'!$D$48,IF(N75="drewno",Q75*'Założenia,wskaźniki, listy'!$E$48,IF(N75="pelet",Q75*'Założenia,wskaźniki, listy'!$G$48,IF(N75="olej opałowy",Q75*'Założenia,wskaźniki, listy'!$G$48,IF(N75="sieć ciepłownicza",0,IF(N75="prąd",0,0)))))))</f>
        <v>0</v>
      </c>
      <c r="AF75" s="639">
        <f>IF(N75="węgiel",Q75*'Założenia,wskaźniki, listy'!$C$49,IF(N75="gaz",Q75*'Założenia,wskaźniki, listy'!$D$49,IF(N75="drewno",Q75*'Założenia,wskaźniki, listy'!$E$49,IF(N75="pelet",Q75*'Założenia,wskaźniki, listy'!$G$49,IF(N75="olej opałowy",Q75*'Założenia,wskaźniki, listy'!$G$49,IF(N75="sieć ciepłownicza",0,IF(N75="prąd",0,0)))))))</f>
        <v>0</v>
      </c>
      <c r="AG75" s="639">
        <f>IF(N75="węgiel",Q75*'Założenia,wskaźniki, listy'!$C$50,IF(N75="gaz",Q75*'Założenia,wskaźniki, listy'!$D$50,IF(N75="drewno",Q75*'Założenia,wskaźniki, listy'!$E$50,IF(N75="pelet",Q75*'Założenia,wskaźniki, listy'!$G$50,IF(N75="olej opałowy",Q75*'Założenia,wskaźniki, listy'!$G$50,IF(N75="sieć ciepłownicza",0,IF(N75="prąd",0,0)))))))</f>
        <v>0</v>
      </c>
      <c r="AH75" s="640">
        <f>IF(L75="węgiel",(P75+R75)/2*'Założenia,wskaźniki, listy'!$C$4,IF(L75="gaz",(P75+R75)/2*'Założenia,wskaźniki, listy'!$C$5,IF(L75="drewno",(P75+R75)/2*'Założenia,wskaźniki, listy'!$C$6,IF(L75="pelet",(P75+R75)/2*'Założenia,wskaźniki, listy'!$C$7,IF(L75="olej opałowy",(P75+R75)/2*'Założenia,wskaźniki, listy'!$C$8,IF(L75="sieć ciepłownicza",(P75+R75)/2*'Założenia,wskaźniki, listy'!$C$9,IF(L75="sieć ciepłownicza",(P75+R75)/2*'Założenia,wskaźniki, listy'!$C$10,)))))))</f>
        <v>4068.02</v>
      </c>
      <c r="AI75" s="640">
        <f>IF(N75="węgiel",Q75*'Założenia,wskaźniki, listy'!$C$4,IF(N75="gaz",Q75*'Założenia,wskaźniki, listy'!$C$5,IF(N75="drewno",Q75*'Założenia,wskaźniki, listy'!$C$6,IF(N75="pelet",Q75*'Założenia,wskaźniki, listy'!$C$7,IF(N75="olej opałowy",Q75*'Założenia,wskaźniki, listy'!$C$8,IF(N75="sieć ciepłownicza",Q75*'Założenia,wskaźniki, listy'!$C$9,IF(N75="sieć ciepłownicza",Q75*'Założenia,wskaźniki, listy'!$C$10,0)))))))</f>
        <v>0</v>
      </c>
      <c r="AJ75" s="640">
        <f>S75*'Założenia,wskaźniki, listy'!$B$64*1000</f>
        <v>1601.76</v>
      </c>
      <c r="AK75" s="640">
        <f>(H75+I75)*'Założenia,wskaźniki, listy'!$D$64*12</f>
        <v>0</v>
      </c>
      <c r="AL75" s="640">
        <f>AK75*'Założenia,wskaźniki, listy'!$F$64</f>
        <v>0</v>
      </c>
      <c r="AM75" s="639">
        <f t="shared" si="128"/>
        <v>2.0348999999999999E-2</v>
      </c>
      <c r="AN75" s="639">
        <f t="shared" si="129"/>
        <v>1.8178440000000001E-2</v>
      </c>
      <c r="AO75" s="639">
        <f>V75+AC75+S75*'Założenia,wskaźniki, listy'!$J$46</f>
        <v>10.353709599999998</v>
      </c>
      <c r="AP75" s="639">
        <f t="shared" si="130"/>
        <v>2.4418800000000001E-5</v>
      </c>
      <c r="AQ75" s="639">
        <f t="shared" si="131"/>
        <v>8.1395999999999996E-2</v>
      </c>
      <c r="AR75" s="639">
        <f t="shared" si="132"/>
        <v>1.4289519999999998E-2</v>
      </c>
      <c r="AS75" s="639">
        <f t="shared" si="133"/>
        <v>0.18193115780062583</v>
      </c>
      <c r="AT75" s="647"/>
      <c r="AU75" s="647"/>
      <c r="AV75" s="624" t="b">
        <f t="shared" si="135"/>
        <v>0</v>
      </c>
      <c r="AW75" s="624" t="b">
        <f t="shared" si="136"/>
        <v>0</v>
      </c>
      <c r="AX75" s="624">
        <f t="shared" si="137"/>
        <v>120</v>
      </c>
      <c r="AY75" s="624" t="b">
        <f t="shared" si="138"/>
        <v>0</v>
      </c>
      <c r="AZ75" s="624" t="b">
        <f t="shared" si="139"/>
        <v>0</v>
      </c>
      <c r="BA75" s="624" t="b">
        <f t="shared" si="140"/>
        <v>0</v>
      </c>
      <c r="BB75" s="624" t="b">
        <f t="shared" si="141"/>
        <v>0</v>
      </c>
      <c r="BC75" s="624" t="b">
        <f t="shared" si="142"/>
        <v>0</v>
      </c>
      <c r="BD75" s="624" t="b">
        <f t="shared" si="143"/>
        <v>0</v>
      </c>
      <c r="BE75" s="624" t="b">
        <f t="shared" si="144"/>
        <v>0</v>
      </c>
      <c r="BF75" s="624">
        <f t="shared" si="145"/>
        <v>90.44</v>
      </c>
      <c r="BG75" s="624" t="b">
        <f t="shared" si="146"/>
        <v>0</v>
      </c>
      <c r="BH75" s="624" t="b">
        <f t="shared" si="147"/>
        <v>0</v>
      </c>
      <c r="BI75" s="624" t="b">
        <f t="shared" si="148"/>
        <v>0</v>
      </c>
      <c r="BJ75" s="624" t="b">
        <f t="shared" si="149"/>
        <v>0</v>
      </c>
      <c r="BK75" s="624" t="b">
        <f t="shared" si="150"/>
        <v>0</v>
      </c>
      <c r="BL75" s="624" t="b">
        <f t="shared" si="151"/>
        <v>0</v>
      </c>
      <c r="BM75" s="624" t="b">
        <f t="shared" si="152"/>
        <v>0</v>
      </c>
      <c r="BN75" s="624" t="b">
        <f t="shared" si="153"/>
        <v>0</v>
      </c>
      <c r="BO75" s="624" t="b">
        <f t="shared" si="154"/>
        <v>0</v>
      </c>
      <c r="BP75" s="624" t="b">
        <f t="shared" si="155"/>
        <v>0</v>
      </c>
      <c r="BQ75" s="624" t="b">
        <f t="shared" si="156"/>
        <v>0</v>
      </c>
    </row>
    <row r="76" spans="1:69">
      <c r="A76" s="1087"/>
      <c r="B76" s="872"/>
      <c r="C76" s="874"/>
      <c r="D76" s="645"/>
      <c r="E76" s="645"/>
      <c r="F76" s="644"/>
      <c r="G76" s="644"/>
      <c r="H76" s="644"/>
      <c r="I76" s="635"/>
      <c r="J76" s="644">
        <f>IF(F76&lt;=1966,'Założenia,wskaźniki, listy'!$H$4,IF(F76&gt;1966,IF(F76&lt;=1985,'Założenia,wskaźniki, listy'!$H$5,IF(F76&gt;1985,IF(F76&lt;=1992,'Założenia,wskaźniki, listy'!$H$6,IF(F76&gt;1992,IF(F76&lt;=1996,'Założenia,wskaźniki, listy'!$H$7,IF(F76&gt;1996,IF(F76&lt;=2015,'Założenia,wskaźniki, listy'!$H$8)))))))))</f>
        <v>290</v>
      </c>
      <c r="K76" s="872"/>
      <c r="L76" s="644"/>
      <c r="M76" s="644"/>
      <c r="N76" s="644"/>
      <c r="O76" s="637">
        <f t="shared" si="134"/>
        <v>0</v>
      </c>
      <c r="P76" s="646">
        <f>IF(K76="kompletna",J76*G76*0.0036*'Założenia,wskaźniki, listy'!$P$9,IF(K76="częściowa",J76*G76*0.0036*'Założenia,wskaźniki, listy'!$P$10,IF(K76="brak",J76*G76*0.0036*'Założenia,wskaźniki, listy'!$P$11,0)))</f>
        <v>0</v>
      </c>
      <c r="Q76" s="638">
        <f>H76*'Założenia,wskaźniki, listy'!$L$15</f>
        <v>0</v>
      </c>
      <c r="R76" s="635">
        <f>IF(L76="węgiel",'Mieszkalne - baza'!M76*'Założenia,wskaźniki, listy'!$B$4,IF(L76="gaz",'Mieszkalne - baza'!M76*'Założenia,wskaźniki, listy'!$B$5,IF(L76="drewno",'Mieszkalne - baza'!M76*'Założenia,wskaźniki, listy'!$B$6,IF(L76="pelet",'Mieszkalne - baza'!M76*'Założenia,wskaźniki, listy'!$B$7,IF(L76="olej opałowy",'Mieszkalne - baza'!M76*'Założenia,wskaźniki, listy'!$B$8,IF(L76="sieć ciepłownicza",0,0))))))</f>
        <v>0</v>
      </c>
      <c r="S76" s="1085"/>
      <c r="T76" s="639">
        <f>IF(L76="węgiel",R76*'Założenia,wskaźniki, listy'!$C$44,IF(L76="gaz",R76*'Założenia,wskaźniki, listy'!$D$44,IF(L76="drewno",R76*'Założenia,wskaźniki, listy'!$E$44,IF(L76="pelet",R76*'Założenia,wskaźniki, listy'!$F$44,IF(L76="olej opałowy",R76*'Założenia,wskaźniki, listy'!$G$44,IF(L76="sieć ciepłownicza",0,IF(L76="prąd",0,0)))))))</f>
        <v>0</v>
      </c>
      <c r="U76" s="639">
        <f>IF(L76="węgiel",R76*'Założenia,wskaźniki, listy'!$C$45,IF(L76="gaz",R76*'Założenia,wskaźniki, listy'!$D$45,IF(L76="drewno",R76*'Założenia,wskaźniki, listy'!$E$45,IF(L76="pelet",R76*'Założenia,wskaźniki, listy'!$F$45,IF(L76="olej opałowy",R76*'Założenia,wskaźniki, listy'!$G$45,IF(L76="sieć ciepłownicza",0,IF(L76="prąd",0,0)))))))</f>
        <v>0</v>
      </c>
      <c r="V76" s="639">
        <f>IF(L76="węgiel",R76*'Założenia,wskaźniki, listy'!$C$46,IF(L76="gaz",R76*'Założenia,wskaźniki, listy'!$D$46,IF(L76="drewno",R76*'Założenia,wskaźniki, listy'!$E$46,IF(L76="pelet",R76*'Założenia,wskaźniki, listy'!$F$46,IF(L76="olej opałowy",R76*'Założenia,wskaźniki, listy'!$G$46,IF(L76="sieć ciepłownicza",R76*'Założenia,wskaźniki, listy'!$H$46,IF(L76="prąd",R76*'Założenia,wskaźniki, listy'!$I$46,0)))))))</f>
        <v>0</v>
      </c>
      <c r="W76" s="639">
        <f>IF(L76="węgiel",R76*'Założenia,wskaźniki, listy'!$C$47,IF(L76="gaz",R76*'Założenia,wskaźniki, listy'!$D$47,IF(L76="drewno",R76*'Założenia,wskaźniki, listy'!$E$47,IF(L76="pelet",R76*'Założenia,wskaźniki, listy'!$F$47,IF(L76="olej opałowy",R76*'Założenia,wskaźniki, listy'!$G$47,IF(L76="sieć ciepłownicza",0,IF(L76="prąd",0,0)))))))</f>
        <v>0</v>
      </c>
      <c r="X76" s="639">
        <f>IF(L76="węgiel",R76*'Założenia,wskaźniki, listy'!$C$48, IF(L76="gaz",R76*'Założenia,wskaźniki, listy'!$D$48,IF(L76="drewno",R76*'Założenia,wskaźniki, listy'!$E$48,IF(L76="pelet",R76*'Założenia,wskaźniki, listy'!$F$48,IF(L76="olej opałowy",R76*'Założenia,wskaźniki, listy'!$G$48,IF(L76="sieć ciepłownicza",0,IF(L76="prąd",0,0)))))))</f>
        <v>0</v>
      </c>
      <c r="Y76" s="639">
        <f>IF(L76="węgiel",R76*'Założenia,wskaźniki, listy'!$C$49, IF(L76="gaz",R76*'Założenia,wskaźniki, listy'!$D$49, IF(L76="drewno",R76*'Założenia,wskaźniki, listy'!$E$49,IF(L76="pelet",R76*'Założenia,wskaźniki, listy'!$F$49,IF(L76="olej opałowy",R76*'Założenia,wskaźniki, listy'!$G$49,IF(L76="sieć ciepłownicza",0,IF(L76="prąd",0,0)))))))</f>
        <v>0</v>
      </c>
      <c r="Z76" s="639">
        <f>IF(L76="węgiel",R76*'Założenia,wskaźniki, listy'!$C$50,IF(L76="gaz",R76*'Założenia,wskaźniki, listy'!$D$50, IF(L76="drewno",R76*'Założenia,wskaźniki, listy'!$E$50,IF(L76="pelet",R76*'Założenia,wskaźniki, listy'!$F$50,IF(L76="pelet",R76*'Założenia,wskaźniki, listy'!$F$50,IF(L76="olej opałowy",R76*'Założenia,wskaźniki, listy'!$G$50,IF(L76="sieć ciepłownicza",0,IF(L76="prąd",0,0))))))))</f>
        <v>0</v>
      </c>
      <c r="AA76" s="639">
        <f>IF(N76="węgiel",Q76*'Założenia,wskaźniki, listy'!$C$44,IF(N76="gaz",Q76*'Założenia,wskaźniki, listy'!$D$44,IF(N76="drewno",Q76*'Założenia,wskaźniki, listy'!$E$44,IF(N76="pelet",Q76*'Założenia,wskaźniki, listy'!$G$44,IF(N76="olej opałowy",Q76*'Założenia,wskaźniki, listy'!$G$44,IF(N76="sieć ciepłownicza",0,IF(N76="prąd",0,0)))))))</f>
        <v>0</v>
      </c>
      <c r="AB76" s="639">
        <f>IF(N76="węgiel",Q76*'Założenia,wskaźniki, listy'!$C$45,IF(N76="gaz",Q76*'Założenia,wskaźniki, listy'!$D$45,IF(N76="drewno",Q76*'Założenia,wskaźniki, listy'!$E$45,IF(N76="pelet",Q76*'Założenia,wskaźniki, listy'!$G$45,IF(N76="olej opałowy",Q76*'Założenia,wskaźniki, listy'!$G$45,IF(N76="sieć ciepłownicza",0,IF(N76="prąd",0,0)))))))</f>
        <v>0</v>
      </c>
      <c r="AC76" s="639">
        <f>IF(N76="węgiel",Q76*'Założenia,wskaźniki, listy'!$C$46,IF(N76="gaz",Q76*'Założenia,wskaźniki, listy'!$D$46,IF(N76="drewno",Q76*'Założenia,wskaźniki, listy'!$E$46,IF(N76="pelet",Q76*'Założenia,wskaźniki, listy'!$G$46,IF(N76="olej opałowy",Q76*'Założenia,wskaźniki, listy'!$G$46,IF(N76="sieć ciepłownicza",0,IF(N76="prąd",0,0)))))))</f>
        <v>0</v>
      </c>
      <c r="AD76" s="639">
        <f>IF(N76="węgiel",Q76*'Założenia,wskaźniki, listy'!$C$47,IF(N76="gaz",Q76*'Założenia,wskaźniki, listy'!$D$47,IF(N76="drewno",Q76*'Założenia,wskaźniki, listy'!$E$47,IF(N76="pelet",Q76*'Założenia,wskaźniki, listy'!$G$47,IF(N76="olej opałowy",Q76*'Założenia,wskaźniki, listy'!$G$47,IF(N76="sieć ciepłownicza",0,IF(N76="prąd",0,0)))))))</f>
        <v>0</v>
      </c>
      <c r="AE76" s="639">
        <f>IF(N76="węgiel",Q76*'Założenia,wskaźniki, listy'!$C$48,IF(N76="gaz",Q76*'Założenia,wskaźniki, listy'!$D$48,IF(N76="drewno",Q76*'Założenia,wskaźniki, listy'!$E$48,IF(N76="pelet",Q76*'Założenia,wskaźniki, listy'!$G$48,IF(N76="olej opałowy",Q76*'Założenia,wskaźniki, listy'!$G$48,IF(N76="sieć ciepłownicza",0,IF(N76="prąd",0,0)))))))</f>
        <v>0</v>
      </c>
      <c r="AF76" s="639">
        <f>IF(N76="węgiel",Q76*'Założenia,wskaźniki, listy'!$C$49,IF(N76="gaz",Q76*'Założenia,wskaźniki, listy'!$D$49,IF(N76="drewno",Q76*'Założenia,wskaźniki, listy'!$E$49,IF(N76="pelet",Q76*'Założenia,wskaźniki, listy'!$G$49,IF(N76="olej opałowy",Q76*'Założenia,wskaźniki, listy'!$G$49,IF(N76="sieć ciepłownicza",0,IF(N76="prąd",0,0)))))))</f>
        <v>0</v>
      </c>
      <c r="AG76" s="639">
        <f>IF(N76="węgiel",Q76*'Założenia,wskaźniki, listy'!$C$50,IF(N76="gaz",Q76*'Założenia,wskaźniki, listy'!$D$50,IF(N76="drewno",Q76*'Założenia,wskaźniki, listy'!$E$50,IF(N76="pelet",Q76*'Założenia,wskaźniki, listy'!$G$50,IF(N76="olej opałowy",Q76*'Założenia,wskaźniki, listy'!$G$50,IF(N76="sieć ciepłownicza",0,IF(N76="prąd",0,0)))))))</f>
        <v>0</v>
      </c>
      <c r="AH76" s="640">
        <f>IF(L76="węgiel",(P76+R76)/2*'Założenia,wskaźniki, listy'!$C$4,IF(L76="gaz",(P76+R76)/2*'Założenia,wskaźniki, listy'!$C$5,IF(L76="drewno",(P76+R76)/2*'Założenia,wskaźniki, listy'!$C$6,IF(L76="pelet",(P76+R76)/2*'Założenia,wskaźniki, listy'!$C$7,IF(L76="olej opałowy",(P76+R76)/2*'Założenia,wskaźniki, listy'!$C$8,IF(L76="sieć ciepłownicza",(P76+R76)/2*'Założenia,wskaźniki, listy'!$C$9,IF(L76="sieć ciepłownicza",(P76+R76)/2*'Założenia,wskaźniki, listy'!$C$10,)))))))</f>
        <v>0</v>
      </c>
      <c r="AI76" s="640">
        <f>IF(N76="węgiel",Q76*'Założenia,wskaźniki, listy'!$C$4,IF(N76="gaz",Q76*'Założenia,wskaźniki, listy'!$C$5,IF(N76="drewno",Q76*'Założenia,wskaźniki, listy'!$C$6,IF(N76="pelet",Q76*'Założenia,wskaźniki, listy'!$C$7,IF(N76="olej opałowy",Q76*'Założenia,wskaźniki, listy'!$C$8,IF(N76="sieć ciepłownicza",Q76*'Założenia,wskaźniki, listy'!$C$9,IF(N76="sieć ciepłownicza",Q76*'Założenia,wskaźniki, listy'!$C$10,0)))))))</f>
        <v>0</v>
      </c>
      <c r="AJ76" s="640">
        <f>S76*'Założenia,wskaźniki, listy'!$B$64*1000</f>
        <v>0</v>
      </c>
      <c r="AK76" s="640">
        <f>(H76+I76)*'Założenia,wskaźniki, listy'!$D$64*12</f>
        <v>0</v>
      </c>
      <c r="AL76" s="640">
        <f>AK76*'Założenia,wskaźniki, listy'!$F$64</f>
        <v>0</v>
      </c>
      <c r="AM76" s="639">
        <f t="shared" si="128"/>
        <v>0</v>
      </c>
      <c r="AN76" s="639">
        <f t="shared" si="129"/>
        <v>0</v>
      </c>
      <c r="AO76" s="639">
        <f>V76+AC76+S76*'Założenia,wskaźniki, listy'!$J$46</f>
        <v>0</v>
      </c>
      <c r="AP76" s="639">
        <f t="shared" si="130"/>
        <v>0</v>
      </c>
      <c r="AQ76" s="639">
        <f t="shared" si="131"/>
        <v>0</v>
      </c>
      <c r="AR76" s="639">
        <f t="shared" si="132"/>
        <v>0</v>
      </c>
      <c r="AS76" s="639">
        <f t="shared" si="133"/>
        <v>0</v>
      </c>
      <c r="AT76" s="647"/>
      <c r="AU76" s="647"/>
      <c r="AV76" s="624">
        <f t="shared" si="135"/>
        <v>0</v>
      </c>
      <c r="AW76" s="624" t="b">
        <f t="shared" si="136"/>
        <v>0</v>
      </c>
      <c r="AX76" s="624" t="b">
        <f t="shared" si="137"/>
        <v>0</v>
      </c>
      <c r="AY76" s="624" t="b">
        <f t="shared" si="138"/>
        <v>0</v>
      </c>
      <c r="AZ76" s="624" t="b">
        <f t="shared" si="139"/>
        <v>0</v>
      </c>
      <c r="BA76" s="624" t="b">
        <f t="shared" si="140"/>
        <v>0</v>
      </c>
      <c r="BB76" s="624" t="b">
        <f t="shared" si="141"/>
        <v>0</v>
      </c>
      <c r="BC76" s="624" t="b">
        <f t="shared" si="142"/>
        <v>0</v>
      </c>
      <c r="BD76" s="624" t="b">
        <f t="shared" si="143"/>
        <v>0</v>
      </c>
      <c r="BE76" s="624" t="b">
        <f t="shared" si="144"/>
        <v>0</v>
      </c>
      <c r="BF76" s="624" t="b">
        <f t="shared" si="145"/>
        <v>0</v>
      </c>
      <c r="BG76" s="624" t="b">
        <f t="shared" si="146"/>
        <v>0</v>
      </c>
      <c r="BH76" s="624" t="b">
        <f t="shared" si="147"/>
        <v>0</v>
      </c>
      <c r="BI76" s="624" t="b">
        <f t="shared" si="148"/>
        <v>0</v>
      </c>
      <c r="BJ76" s="624" t="b">
        <f t="shared" si="149"/>
        <v>0</v>
      </c>
      <c r="BK76" s="624" t="b">
        <f t="shared" si="150"/>
        <v>0</v>
      </c>
      <c r="BL76" s="624" t="b">
        <f t="shared" si="151"/>
        <v>0</v>
      </c>
      <c r="BM76" s="624" t="b">
        <f t="shared" si="152"/>
        <v>0</v>
      </c>
      <c r="BN76" s="624" t="b">
        <f t="shared" si="153"/>
        <v>0</v>
      </c>
      <c r="BO76" s="624" t="b">
        <f t="shared" si="154"/>
        <v>0</v>
      </c>
      <c r="BP76" s="624" t="b">
        <f t="shared" si="155"/>
        <v>0</v>
      </c>
      <c r="BQ76" s="624" t="b">
        <f t="shared" si="156"/>
        <v>0</v>
      </c>
    </row>
    <row r="77" spans="1:69">
      <c r="A77" s="1086">
        <v>37</v>
      </c>
      <c r="B77" s="872" t="s">
        <v>21</v>
      </c>
      <c r="C77" s="873" t="s">
        <v>621</v>
      </c>
      <c r="D77" s="645" t="s">
        <v>628</v>
      </c>
      <c r="E77" s="645">
        <v>36</v>
      </c>
      <c r="F77" s="872">
        <v>1938</v>
      </c>
      <c r="G77" s="872">
        <v>40</v>
      </c>
      <c r="H77" s="872"/>
      <c r="I77" s="873"/>
      <c r="J77" s="872">
        <f>IF(F77&lt;=1966,'Założenia,wskaźniki, listy'!$H$4,IF(F77&gt;1966,IF(F77&lt;=1985,'Założenia,wskaźniki, listy'!$H$5,IF(F77&gt;1985,IF(F77&lt;=1992,'Założenia,wskaźniki, listy'!$H$6,IF(F77&gt;1992,IF(F77&lt;=1996,'Założenia,wskaźniki, listy'!$H$7,IF(F77&gt;1996,IF(F77&lt;=2015,'Założenia,wskaźniki, listy'!$H$8)))))))))</f>
        <v>290</v>
      </c>
      <c r="K77" s="864" t="s">
        <v>33</v>
      </c>
      <c r="L77" s="872" t="s">
        <v>8</v>
      </c>
      <c r="M77" s="872">
        <v>1.5</v>
      </c>
      <c r="N77" s="644"/>
      <c r="O77" s="637">
        <f t="shared" si="134"/>
        <v>33.661500000000004</v>
      </c>
      <c r="P77" s="646">
        <f>IF(K77="kompletna",J77*G77*0.0036*'Założenia,wskaźniki, listy'!$P$9,IF(K77="częściowa",J77*G77*0.0036*'Założenia,wskaźniki, listy'!$P$10,IF(K77="brak",J77*G77*0.0036*'Założenia,wskaźniki, listy'!$P$11,0)))</f>
        <v>33.408000000000001</v>
      </c>
      <c r="Q77" s="638">
        <f>H77*'Założenia,wskaźniki, listy'!$L$15</f>
        <v>0</v>
      </c>
      <c r="R77" s="635">
        <f>IF(L77="węgiel",'Mieszkalne - baza'!M77*'Założenia,wskaźniki, listy'!$B$4,IF(L77="gaz",'Mieszkalne - baza'!M77*'Założenia,wskaźniki, listy'!$B$5,IF(L77="drewno",'Mieszkalne - baza'!M77*'Założenia,wskaźniki, listy'!$B$6,IF(L77="pelet",'Mieszkalne - baza'!M77*'Założenia,wskaźniki, listy'!$B$7,IF(L77="olej opałowy",'Mieszkalne - baza'!M77*'Założenia,wskaźniki, listy'!$B$8,IF(L77="sieć ciepłownicza",0,0))))))</f>
        <v>33.914999999999999</v>
      </c>
      <c r="S77" s="1084">
        <v>1.6919999999999999</v>
      </c>
      <c r="T77" s="639">
        <f>IF(L77="węgiel",R77*'Założenia,wskaźniki, listy'!$C$44,IF(L77="gaz",R77*'Założenia,wskaźniki, listy'!$D$44,IF(L77="drewno",R77*'Założenia,wskaźniki, listy'!$E$44,IF(L77="pelet",R77*'Założenia,wskaźniki, listy'!$F$44,IF(L77="olej opałowy",R77*'Założenia,wskaźniki, listy'!$G$44,IF(L77="sieć ciepłownicza",0,IF(L77="prąd",0,0)))))))</f>
        <v>7.6308749999999996E-3</v>
      </c>
      <c r="U77" s="639">
        <f>IF(L77="węgiel",R77*'Założenia,wskaźniki, listy'!$C$45,IF(L77="gaz",R77*'Założenia,wskaźniki, listy'!$D$45,IF(L77="drewno",R77*'Założenia,wskaźniki, listy'!$E$45,IF(L77="pelet",R77*'Założenia,wskaźniki, listy'!$F$45,IF(L77="olej opałowy",R77*'Założenia,wskaźniki, listy'!$G$45,IF(L77="sieć ciepłownicza",0,IF(L77="prąd",0,0)))))))</f>
        <v>6.8169149999999998E-3</v>
      </c>
      <c r="V77" s="639">
        <f>IF(L77="węgiel",R77*'Założenia,wskaźniki, listy'!$C$46,IF(L77="gaz",R77*'Założenia,wskaźniki, listy'!$D$46,IF(L77="drewno",R77*'Założenia,wskaźniki, listy'!$E$46,IF(L77="pelet",R77*'Założenia,wskaźniki, listy'!$F$46,IF(L77="olej opałowy",R77*'Założenia,wskaźniki, listy'!$G$46,IF(L77="sieć ciepłownicza",R77*'Założenia,wskaźniki, listy'!$H$46,IF(L77="prąd",R77*'Założenia,wskaźniki, listy'!$I$46,0)))))))</f>
        <v>3.1791920999999994</v>
      </c>
      <c r="W77" s="639">
        <f>IF(L77="węgiel",R77*'Założenia,wskaźniki, listy'!$C$47,IF(L77="gaz",R77*'Założenia,wskaźniki, listy'!$D$47,IF(L77="drewno",R77*'Założenia,wskaźniki, listy'!$E$47,IF(L77="pelet",R77*'Założenia,wskaźniki, listy'!$F$47,IF(L77="olej opałowy",R77*'Założenia,wskaźniki, listy'!$G$47,IF(L77="sieć ciepłownicza",0,IF(L77="prąd",0,0)))))))</f>
        <v>9.1570500000000007E-6</v>
      </c>
      <c r="X77" s="639">
        <f>IF(L77="węgiel",R77*'Założenia,wskaźniki, listy'!$C$48, IF(L77="gaz",R77*'Założenia,wskaźniki, listy'!$D$48,IF(L77="drewno",R77*'Założenia,wskaźniki, listy'!$E$48,IF(L77="pelet",R77*'Założenia,wskaźniki, listy'!$F$48,IF(L77="olej opałowy",R77*'Założenia,wskaźniki, listy'!$G$48,IF(L77="sieć ciepłownicza",0,IF(L77="prąd",0,0)))))))</f>
        <v>3.0523499999999999E-2</v>
      </c>
      <c r="Y77" s="639">
        <f>IF(L77="węgiel",R77*'Założenia,wskaźniki, listy'!$C$49, IF(L77="gaz",R77*'Założenia,wskaźniki, listy'!$D$49, IF(L77="drewno",R77*'Założenia,wskaźniki, listy'!$E$49,IF(L77="pelet",R77*'Założenia,wskaźniki, listy'!$F$49,IF(L77="olej opałowy",R77*'Założenia,wskaźniki, listy'!$G$49,IF(L77="sieć ciepłownicza",0,IF(L77="prąd",0,0)))))))</f>
        <v>5.35857E-3</v>
      </c>
      <c r="Z77" s="639">
        <f>IF(L77="węgiel",R77*'Założenia,wskaźniki, listy'!$C$50,IF(L77="gaz",R77*'Założenia,wskaźniki, listy'!$D$50, IF(L77="drewno",R77*'Założenia,wskaźniki, listy'!$E$50,IF(L77="pelet",R77*'Założenia,wskaźniki, listy'!$F$50,IF(L77="pelet",R77*'Założenia,wskaźniki, listy'!$F$50,IF(L77="olej opałowy",R77*'Założenia,wskaźniki, listy'!$G$50,IF(L77="sieć ciepłownicza",0,IF(L77="prąd",0,0))))))))</f>
        <v>6.8224184175234681E-2</v>
      </c>
      <c r="AA77" s="639">
        <f>IF(N77="węgiel",Q77*'Założenia,wskaźniki, listy'!$C$44,IF(N77="gaz",Q77*'Założenia,wskaźniki, listy'!$D$44,IF(N77="drewno",Q77*'Założenia,wskaźniki, listy'!$E$44,IF(N77="pelet",Q77*'Założenia,wskaźniki, listy'!$G$44,IF(N77="olej opałowy",Q77*'Założenia,wskaźniki, listy'!$G$44,IF(N77="sieć ciepłownicza",0,IF(N77="prąd",0,0)))))))</f>
        <v>0</v>
      </c>
      <c r="AB77" s="639">
        <f>IF(N77="węgiel",Q77*'Założenia,wskaźniki, listy'!$C$45,IF(N77="gaz",Q77*'Założenia,wskaźniki, listy'!$D$45,IF(N77="drewno",Q77*'Założenia,wskaźniki, listy'!$E$45,IF(N77="pelet",Q77*'Założenia,wskaźniki, listy'!$G$45,IF(N77="olej opałowy",Q77*'Założenia,wskaźniki, listy'!$G$45,IF(N77="sieć ciepłownicza",0,IF(N77="prąd",0,0)))))))</f>
        <v>0</v>
      </c>
      <c r="AC77" s="639">
        <f>IF(N77="węgiel",Q77*'Założenia,wskaźniki, listy'!$C$46,IF(N77="gaz",Q77*'Założenia,wskaźniki, listy'!$D$46,IF(N77="drewno",Q77*'Założenia,wskaźniki, listy'!$E$46,IF(N77="pelet",Q77*'Założenia,wskaźniki, listy'!$G$46,IF(N77="olej opałowy",Q77*'Założenia,wskaźniki, listy'!$G$46,IF(N77="sieć ciepłownicza",0,IF(N77="prąd",0,0)))))))</f>
        <v>0</v>
      </c>
      <c r="AD77" s="639">
        <f>IF(N77="węgiel",Q77*'Założenia,wskaźniki, listy'!$C$47,IF(N77="gaz",Q77*'Założenia,wskaźniki, listy'!$D$47,IF(N77="drewno",Q77*'Założenia,wskaźniki, listy'!$E$47,IF(N77="pelet",Q77*'Założenia,wskaźniki, listy'!$G$47,IF(N77="olej opałowy",Q77*'Założenia,wskaźniki, listy'!$G$47,IF(N77="sieć ciepłownicza",0,IF(N77="prąd",0,0)))))))</f>
        <v>0</v>
      </c>
      <c r="AE77" s="639">
        <f>IF(N77="węgiel",Q77*'Założenia,wskaźniki, listy'!$C$48,IF(N77="gaz",Q77*'Założenia,wskaźniki, listy'!$D$48,IF(N77="drewno",Q77*'Założenia,wskaźniki, listy'!$E$48,IF(N77="pelet",Q77*'Założenia,wskaźniki, listy'!$G$48,IF(N77="olej opałowy",Q77*'Założenia,wskaźniki, listy'!$G$48,IF(N77="sieć ciepłownicza",0,IF(N77="prąd",0,0)))))))</f>
        <v>0</v>
      </c>
      <c r="AF77" s="639">
        <f>IF(N77="węgiel",Q77*'Założenia,wskaźniki, listy'!$C$49,IF(N77="gaz",Q77*'Założenia,wskaźniki, listy'!$D$49,IF(N77="drewno",Q77*'Założenia,wskaźniki, listy'!$E$49,IF(N77="pelet",Q77*'Założenia,wskaźniki, listy'!$G$49,IF(N77="olej opałowy",Q77*'Założenia,wskaźniki, listy'!$G$49,IF(N77="sieć ciepłownicza",0,IF(N77="prąd",0,0)))))))</f>
        <v>0</v>
      </c>
      <c r="AG77" s="639">
        <f>IF(N77="węgiel",Q77*'Założenia,wskaźniki, listy'!$C$50,IF(N77="gaz",Q77*'Założenia,wskaźniki, listy'!$D$50,IF(N77="drewno",Q77*'Założenia,wskaźniki, listy'!$E$50,IF(N77="pelet",Q77*'Założenia,wskaźniki, listy'!$G$50,IF(N77="olej opałowy",Q77*'Założenia,wskaźniki, listy'!$G$50,IF(N77="sieć ciepłownicza",0,IF(N77="prąd",0,0)))))))</f>
        <v>0</v>
      </c>
      <c r="AH77" s="640">
        <f>IF(L77="węgiel",(P77+R77)/2*'Założenia,wskaźniki, listy'!$C$4,IF(L77="gaz",(P77+R77)/2*'Założenia,wskaźniki, listy'!$C$5,IF(L77="drewno",(P77+R77)/2*'Założenia,wskaźniki, listy'!$C$6,IF(L77="pelet",(P77+R77)/2*'Założenia,wskaźniki, listy'!$C$7,IF(L77="olej opałowy",(P77+R77)/2*'Założenia,wskaźniki, listy'!$C$8,IF(L77="sieć ciepłownicza",(P77+R77)/2*'Założenia,wskaźniki, listy'!$C$9,IF(L77="sieć ciepłownicza",(P77+R77)/2*'Założenia,wskaźniki, listy'!$C$10,)))))))</f>
        <v>1380.1215000000002</v>
      </c>
      <c r="AI77" s="640">
        <f>IF(N77="węgiel",Q77*'Założenia,wskaźniki, listy'!$C$4,IF(N77="gaz",Q77*'Założenia,wskaźniki, listy'!$C$5,IF(N77="drewno",Q77*'Założenia,wskaźniki, listy'!$C$6,IF(N77="pelet",Q77*'Założenia,wskaźniki, listy'!$C$7,IF(N77="olej opałowy",Q77*'Założenia,wskaźniki, listy'!$C$8,IF(N77="sieć ciepłownicza",Q77*'Założenia,wskaźniki, listy'!$C$9,IF(N77="sieć ciepłownicza",Q77*'Założenia,wskaźniki, listy'!$C$10,0)))))))</f>
        <v>0</v>
      </c>
      <c r="AJ77" s="640">
        <f>S77*'Założenia,wskaźniki, listy'!$B$64*1000</f>
        <v>1201.32</v>
      </c>
      <c r="AK77" s="640">
        <f>(H77+I77)*'Założenia,wskaźniki, listy'!$D$64*12</f>
        <v>0</v>
      </c>
      <c r="AL77" s="640">
        <f>AK77*'Założenia,wskaźniki, listy'!$F$64</f>
        <v>0</v>
      </c>
      <c r="AM77" s="639">
        <f t="shared" si="128"/>
        <v>7.6308749999999996E-3</v>
      </c>
      <c r="AN77" s="639">
        <f t="shared" si="129"/>
        <v>6.8169149999999998E-3</v>
      </c>
      <c r="AO77" s="639">
        <f>V77+AC77+S77*'Założenia,wskaźniki, listy'!$J$46</f>
        <v>4.5860900999999998</v>
      </c>
      <c r="AP77" s="639">
        <f t="shared" si="130"/>
        <v>9.1570500000000007E-6</v>
      </c>
      <c r="AQ77" s="639">
        <f t="shared" si="131"/>
        <v>3.0523499999999999E-2</v>
      </c>
      <c r="AR77" s="639">
        <f t="shared" si="132"/>
        <v>5.35857E-3</v>
      </c>
      <c r="AS77" s="639">
        <f t="shared" si="133"/>
        <v>6.8224184175234681E-2</v>
      </c>
      <c r="AT77" s="647"/>
      <c r="AU77" s="647"/>
      <c r="AV77" s="624">
        <f t="shared" si="135"/>
        <v>40</v>
      </c>
      <c r="AW77" s="624">
        <f t="shared" si="136"/>
        <v>20</v>
      </c>
      <c r="AX77" s="624" t="b">
        <f t="shared" si="137"/>
        <v>0</v>
      </c>
      <c r="AY77" s="624">
        <f t="shared" si="138"/>
        <v>0</v>
      </c>
      <c r="AZ77" s="624" t="b">
        <f t="shared" si="139"/>
        <v>0</v>
      </c>
      <c r="BA77" s="624">
        <f t="shared" si="140"/>
        <v>0</v>
      </c>
      <c r="BB77" s="624" t="b">
        <f t="shared" si="141"/>
        <v>0</v>
      </c>
      <c r="BC77" s="624">
        <f t="shared" si="142"/>
        <v>0</v>
      </c>
      <c r="BD77" s="624" t="b">
        <f t="shared" si="143"/>
        <v>0</v>
      </c>
      <c r="BE77" s="624">
        <f t="shared" si="144"/>
        <v>0</v>
      </c>
      <c r="BF77" s="624">
        <f t="shared" si="145"/>
        <v>33.914999999999999</v>
      </c>
      <c r="BG77" s="624" t="b">
        <f t="shared" si="146"/>
        <v>0</v>
      </c>
      <c r="BH77" s="624" t="b">
        <f t="shared" si="147"/>
        <v>0</v>
      </c>
      <c r="BI77" s="624" t="b">
        <f t="shared" si="148"/>
        <v>0</v>
      </c>
      <c r="BJ77" s="624" t="b">
        <f t="shared" si="149"/>
        <v>0</v>
      </c>
      <c r="BK77" s="624" t="b">
        <f t="shared" si="150"/>
        <v>0</v>
      </c>
      <c r="BL77" s="624" t="b">
        <f t="shared" si="151"/>
        <v>0</v>
      </c>
      <c r="BM77" s="624" t="b">
        <f t="shared" si="152"/>
        <v>0</v>
      </c>
      <c r="BN77" s="624" t="b">
        <f t="shared" si="153"/>
        <v>0</v>
      </c>
      <c r="BO77" s="624" t="b">
        <f t="shared" si="154"/>
        <v>0</v>
      </c>
      <c r="BP77" s="624" t="b">
        <f t="shared" si="155"/>
        <v>0</v>
      </c>
      <c r="BQ77" s="624" t="b">
        <f t="shared" si="156"/>
        <v>0</v>
      </c>
    </row>
    <row r="78" spans="1:69">
      <c r="A78" s="1087"/>
      <c r="B78" s="872"/>
      <c r="C78" s="872"/>
      <c r="D78" s="645"/>
      <c r="E78" s="645"/>
      <c r="F78" s="872"/>
      <c r="G78" s="872"/>
      <c r="H78" s="872"/>
      <c r="I78" s="873"/>
      <c r="J78" s="872">
        <f>IF(F78&lt;=1966,'Założenia,wskaźniki, listy'!$H$4,IF(F78&gt;1966,IF(F78&lt;=1985,'Założenia,wskaźniki, listy'!$H$5,IF(F78&gt;1985,IF(F78&lt;=1992,'Założenia,wskaźniki, listy'!$H$6,IF(F78&gt;1992,IF(F78&lt;=1996,'Założenia,wskaźniki, listy'!$H$7,IF(F78&gt;1996,IF(F78&lt;=2015,'Założenia,wskaźniki, listy'!$H$8)))))))))</f>
        <v>290</v>
      </c>
      <c r="K78" s="872"/>
      <c r="L78" s="872"/>
      <c r="M78" s="872"/>
      <c r="N78" s="644"/>
      <c r="O78" s="637">
        <f t="shared" si="134"/>
        <v>0</v>
      </c>
      <c r="P78" s="646">
        <f>IF(K78="kompletna",J78*G78*0.0036*'Założenia,wskaźniki, listy'!$P$9,IF(K78="częściowa",J78*G78*0.0036*'Założenia,wskaźniki, listy'!$P$10,IF(K78="brak",J78*G78*0.0036*'Założenia,wskaźniki, listy'!$P$11,0)))</f>
        <v>0</v>
      </c>
      <c r="Q78" s="638">
        <f>H78*'Założenia,wskaźniki, listy'!$L$15</f>
        <v>0</v>
      </c>
      <c r="R78" s="635">
        <f>IF(L78="węgiel",'Mieszkalne - baza'!M78*'Założenia,wskaźniki, listy'!$B$4,IF(L78="gaz",'Mieszkalne - baza'!M78*'Założenia,wskaźniki, listy'!$B$5,IF(L78="drewno",'Mieszkalne - baza'!M78*'Założenia,wskaźniki, listy'!$B$6,IF(L78="pelet",'Mieszkalne - baza'!M78*'Założenia,wskaźniki, listy'!$B$7,IF(L78="olej opałowy",'Mieszkalne - baza'!M78*'Założenia,wskaźniki, listy'!$B$8,IF(L78="sieć ciepłownicza",0,0))))))</f>
        <v>0</v>
      </c>
      <c r="S78" s="1085"/>
      <c r="T78" s="639">
        <f>IF(L78="węgiel",R78*'Założenia,wskaźniki, listy'!$C$44,IF(L78="gaz",R78*'Założenia,wskaźniki, listy'!$D$44,IF(L78="drewno",R78*'Założenia,wskaźniki, listy'!$E$44,IF(L78="pelet",R78*'Założenia,wskaźniki, listy'!$F$44,IF(L78="olej opałowy",R78*'Założenia,wskaźniki, listy'!$G$44,IF(L78="sieć ciepłownicza",0,IF(L78="prąd",0,0)))))))</f>
        <v>0</v>
      </c>
      <c r="U78" s="639">
        <f>IF(L78="węgiel",R78*'Założenia,wskaźniki, listy'!$C$45,IF(L78="gaz",R78*'Założenia,wskaźniki, listy'!$D$45,IF(L78="drewno",R78*'Założenia,wskaźniki, listy'!$E$45,IF(L78="pelet",R78*'Założenia,wskaźniki, listy'!$F$45,IF(L78="olej opałowy",R78*'Założenia,wskaźniki, listy'!$G$45,IF(L78="sieć ciepłownicza",0,IF(L78="prąd",0,0)))))))</f>
        <v>0</v>
      </c>
      <c r="V78" s="639">
        <f>IF(L78="węgiel",R78*'Założenia,wskaźniki, listy'!$C$46,IF(L78="gaz",R78*'Założenia,wskaźniki, listy'!$D$46,IF(L78="drewno",R78*'Założenia,wskaźniki, listy'!$E$46,IF(L78="pelet",R78*'Założenia,wskaźniki, listy'!$F$46,IF(L78="olej opałowy",R78*'Założenia,wskaźniki, listy'!$G$46,IF(L78="sieć ciepłownicza",R78*'Założenia,wskaźniki, listy'!$H$46,IF(L78="prąd",R78*'Założenia,wskaźniki, listy'!$I$46,0)))))))</f>
        <v>0</v>
      </c>
      <c r="W78" s="639">
        <f>IF(L78="węgiel",R78*'Założenia,wskaźniki, listy'!$C$47,IF(L78="gaz",R78*'Założenia,wskaźniki, listy'!$D$47,IF(L78="drewno",R78*'Założenia,wskaźniki, listy'!$E$47,IF(L78="pelet",R78*'Założenia,wskaźniki, listy'!$F$47,IF(L78="olej opałowy",R78*'Założenia,wskaźniki, listy'!$G$47,IF(L78="sieć ciepłownicza",0,IF(L78="prąd",0,0)))))))</f>
        <v>0</v>
      </c>
      <c r="X78" s="639">
        <f>IF(L78="węgiel",R78*'Założenia,wskaźniki, listy'!$C$48, IF(L78="gaz",R78*'Założenia,wskaźniki, listy'!$D$48,IF(L78="drewno",R78*'Założenia,wskaźniki, listy'!$E$48,IF(L78="pelet",R78*'Założenia,wskaźniki, listy'!$F$48,IF(L78="olej opałowy",R78*'Założenia,wskaźniki, listy'!$G$48,IF(L78="sieć ciepłownicza",0,IF(L78="prąd",0,0)))))))</f>
        <v>0</v>
      </c>
      <c r="Y78" s="639">
        <f>IF(L78="węgiel",R78*'Założenia,wskaźniki, listy'!$C$49, IF(L78="gaz",R78*'Założenia,wskaźniki, listy'!$D$49, IF(L78="drewno",R78*'Założenia,wskaźniki, listy'!$E$49,IF(L78="pelet",R78*'Założenia,wskaźniki, listy'!$F$49,IF(L78="olej opałowy",R78*'Założenia,wskaźniki, listy'!$G$49,IF(L78="sieć ciepłownicza",0,IF(L78="prąd",0,0)))))))</f>
        <v>0</v>
      </c>
      <c r="Z78" s="639">
        <f>IF(L78="węgiel",R78*'Założenia,wskaźniki, listy'!$C$50,IF(L78="gaz",R78*'Założenia,wskaźniki, listy'!$D$50, IF(L78="drewno",R78*'Założenia,wskaźniki, listy'!$E$50,IF(L78="pelet",R78*'Założenia,wskaźniki, listy'!$F$50,IF(L78="pelet",R78*'Założenia,wskaźniki, listy'!$F$50,IF(L78="olej opałowy",R78*'Założenia,wskaźniki, listy'!$G$50,IF(L78="sieć ciepłownicza",0,IF(L78="prąd",0,0))))))))</f>
        <v>0</v>
      </c>
      <c r="AA78" s="639">
        <f>IF(N78="węgiel",Q78*'Założenia,wskaźniki, listy'!$C$44,IF(N78="gaz",Q78*'Założenia,wskaźniki, listy'!$D$44,IF(N78="drewno",Q78*'Założenia,wskaźniki, listy'!$E$44,IF(N78="pelet",Q78*'Założenia,wskaźniki, listy'!$G$44,IF(N78="olej opałowy",Q78*'Założenia,wskaźniki, listy'!$G$44,IF(N78="sieć ciepłownicza",0,IF(N78="prąd",0,0)))))))</f>
        <v>0</v>
      </c>
      <c r="AB78" s="639">
        <f>IF(N78="węgiel",Q78*'Założenia,wskaźniki, listy'!$C$45,IF(N78="gaz",Q78*'Założenia,wskaźniki, listy'!$D$45,IF(N78="drewno",Q78*'Założenia,wskaźniki, listy'!$E$45,IF(N78="pelet",Q78*'Założenia,wskaźniki, listy'!$G$45,IF(N78="olej opałowy",Q78*'Założenia,wskaźniki, listy'!$G$45,IF(N78="sieć ciepłownicza",0,IF(N78="prąd",0,0)))))))</f>
        <v>0</v>
      </c>
      <c r="AC78" s="639">
        <f>IF(N78="węgiel",Q78*'Założenia,wskaźniki, listy'!$C$46,IF(N78="gaz",Q78*'Założenia,wskaźniki, listy'!$D$46,IF(N78="drewno",Q78*'Założenia,wskaźniki, listy'!$E$46,IF(N78="pelet",Q78*'Założenia,wskaźniki, listy'!$G$46,IF(N78="olej opałowy",Q78*'Założenia,wskaźniki, listy'!$G$46,IF(N78="sieć ciepłownicza",0,IF(N78="prąd",0,0)))))))</f>
        <v>0</v>
      </c>
      <c r="AD78" s="639">
        <f>IF(N78="węgiel",Q78*'Założenia,wskaźniki, listy'!$C$47,IF(N78="gaz",Q78*'Założenia,wskaźniki, listy'!$D$47,IF(N78="drewno",Q78*'Założenia,wskaźniki, listy'!$E$47,IF(N78="pelet",Q78*'Założenia,wskaźniki, listy'!$G$47,IF(N78="olej opałowy",Q78*'Założenia,wskaźniki, listy'!$G$47,IF(N78="sieć ciepłownicza",0,IF(N78="prąd",0,0)))))))</f>
        <v>0</v>
      </c>
      <c r="AE78" s="639">
        <f>IF(N78="węgiel",Q78*'Założenia,wskaźniki, listy'!$C$48,IF(N78="gaz",Q78*'Założenia,wskaźniki, listy'!$D$48,IF(N78="drewno",Q78*'Założenia,wskaźniki, listy'!$E$48,IF(N78="pelet",Q78*'Założenia,wskaźniki, listy'!$G$48,IF(N78="olej opałowy",Q78*'Założenia,wskaźniki, listy'!$G$48,IF(N78="sieć ciepłownicza",0,IF(N78="prąd",0,0)))))))</f>
        <v>0</v>
      </c>
      <c r="AF78" s="639">
        <f>IF(N78="węgiel",Q78*'Założenia,wskaźniki, listy'!$C$49,IF(N78="gaz",Q78*'Założenia,wskaźniki, listy'!$D$49,IF(N78="drewno",Q78*'Założenia,wskaźniki, listy'!$E$49,IF(N78="pelet",Q78*'Założenia,wskaźniki, listy'!$G$49,IF(N78="olej opałowy",Q78*'Założenia,wskaźniki, listy'!$G$49,IF(N78="sieć ciepłownicza",0,IF(N78="prąd",0,0)))))))</f>
        <v>0</v>
      </c>
      <c r="AG78" s="639">
        <f>IF(N78="węgiel",Q78*'Założenia,wskaźniki, listy'!$C$50,IF(N78="gaz",Q78*'Założenia,wskaźniki, listy'!$D$50,IF(N78="drewno",Q78*'Założenia,wskaźniki, listy'!$E$50,IF(N78="pelet",Q78*'Założenia,wskaźniki, listy'!$G$50,IF(N78="olej opałowy",Q78*'Założenia,wskaźniki, listy'!$G$50,IF(N78="sieć ciepłownicza",0,IF(N78="prąd",0,0)))))))</f>
        <v>0</v>
      </c>
      <c r="AH78" s="640">
        <f>IF(L78="węgiel",(P78+R78)/2*'Założenia,wskaźniki, listy'!$C$4,IF(L78="gaz",(P78+R78)/2*'Założenia,wskaźniki, listy'!$C$5,IF(L78="drewno",(P78+R78)/2*'Założenia,wskaźniki, listy'!$C$6,IF(L78="pelet",(P78+R78)/2*'Założenia,wskaźniki, listy'!$C$7,IF(L78="olej opałowy",(P78+R78)/2*'Założenia,wskaźniki, listy'!$C$8,IF(L78="sieć ciepłownicza",(P78+R78)/2*'Założenia,wskaźniki, listy'!$C$9,IF(L78="sieć ciepłownicza",(P78+R78)/2*'Założenia,wskaźniki, listy'!$C$10,)))))))</f>
        <v>0</v>
      </c>
      <c r="AI78" s="640">
        <f>IF(N78="węgiel",Q78*'Założenia,wskaźniki, listy'!$C$4,IF(N78="gaz",Q78*'Założenia,wskaźniki, listy'!$C$5,IF(N78="drewno",Q78*'Założenia,wskaźniki, listy'!$C$6,IF(N78="pelet",Q78*'Założenia,wskaźniki, listy'!$C$7,IF(N78="olej opałowy",Q78*'Założenia,wskaźniki, listy'!$C$8,IF(N78="sieć ciepłownicza",Q78*'Założenia,wskaźniki, listy'!$C$9,IF(N78="sieć ciepłownicza",Q78*'Założenia,wskaźniki, listy'!$C$10,0)))))))</f>
        <v>0</v>
      </c>
      <c r="AJ78" s="640">
        <f>S78*'Założenia,wskaźniki, listy'!$B$64*1000</f>
        <v>0</v>
      </c>
      <c r="AK78" s="640">
        <f>(H78+I78)*'Założenia,wskaźniki, listy'!$D$64*12</f>
        <v>0</v>
      </c>
      <c r="AL78" s="640">
        <f>AK78*'Założenia,wskaźniki, listy'!$F$64</f>
        <v>0</v>
      </c>
      <c r="AM78" s="639">
        <f t="shared" si="128"/>
        <v>0</v>
      </c>
      <c r="AN78" s="639">
        <f t="shared" si="129"/>
        <v>0</v>
      </c>
      <c r="AO78" s="639">
        <f>V78+AC78+S78*'Założenia,wskaźniki, listy'!$J$46</f>
        <v>0</v>
      </c>
      <c r="AP78" s="639">
        <f t="shared" si="130"/>
        <v>0</v>
      </c>
      <c r="AQ78" s="639">
        <f t="shared" si="131"/>
        <v>0</v>
      </c>
      <c r="AR78" s="639">
        <f t="shared" si="132"/>
        <v>0</v>
      </c>
      <c r="AS78" s="639">
        <f t="shared" si="133"/>
        <v>0</v>
      </c>
      <c r="AT78" s="647"/>
      <c r="AU78" s="647"/>
      <c r="AV78" s="624">
        <f t="shared" si="135"/>
        <v>0</v>
      </c>
      <c r="AW78" s="624" t="b">
        <f t="shared" si="136"/>
        <v>0</v>
      </c>
      <c r="AX78" s="624" t="b">
        <f t="shared" si="137"/>
        <v>0</v>
      </c>
      <c r="AY78" s="624" t="b">
        <f t="shared" si="138"/>
        <v>0</v>
      </c>
      <c r="AZ78" s="624" t="b">
        <f t="shared" si="139"/>
        <v>0</v>
      </c>
      <c r="BA78" s="624" t="b">
        <f t="shared" si="140"/>
        <v>0</v>
      </c>
      <c r="BB78" s="624" t="b">
        <f t="shared" si="141"/>
        <v>0</v>
      </c>
      <c r="BC78" s="624" t="b">
        <f t="shared" si="142"/>
        <v>0</v>
      </c>
      <c r="BD78" s="624" t="b">
        <f t="shared" si="143"/>
        <v>0</v>
      </c>
      <c r="BE78" s="624" t="b">
        <f t="shared" si="144"/>
        <v>0</v>
      </c>
      <c r="BF78" s="624" t="b">
        <f t="shared" si="145"/>
        <v>0</v>
      </c>
      <c r="BG78" s="624" t="b">
        <f t="shared" si="146"/>
        <v>0</v>
      </c>
      <c r="BH78" s="624" t="b">
        <f t="shared" si="147"/>
        <v>0</v>
      </c>
      <c r="BI78" s="624" t="b">
        <f t="shared" si="148"/>
        <v>0</v>
      </c>
      <c r="BJ78" s="624" t="b">
        <f t="shared" si="149"/>
        <v>0</v>
      </c>
      <c r="BK78" s="624" t="b">
        <f t="shared" si="150"/>
        <v>0</v>
      </c>
      <c r="BL78" s="624" t="b">
        <f t="shared" si="151"/>
        <v>0</v>
      </c>
      <c r="BM78" s="624" t="b">
        <f t="shared" si="152"/>
        <v>0</v>
      </c>
      <c r="BN78" s="624" t="b">
        <f t="shared" si="153"/>
        <v>0</v>
      </c>
      <c r="BO78" s="624" t="b">
        <f t="shared" si="154"/>
        <v>0</v>
      </c>
      <c r="BP78" s="624" t="b">
        <f t="shared" si="155"/>
        <v>0</v>
      </c>
      <c r="BQ78" s="624" t="b">
        <f t="shared" si="156"/>
        <v>0</v>
      </c>
    </row>
    <row r="79" spans="1:69">
      <c r="A79" s="1086">
        <v>38</v>
      </c>
      <c r="B79" s="872" t="s">
        <v>21</v>
      </c>
      <c r="C79" s="873" t="s">
        <v>621</v>
      </c>
      <c r="D79" s="645" t="s">
        <v>628</v>
      </c>
      <c r="E79" s="645">
        <v>34</v>
      </c>
      <c r="F79" s="644">
        <v>1946</v>
      </c>
      <c r="G79" s="644">
        <v>40</v>
      </c>
      <c r="H79" s="644"/>
      <c r="I79" s="635"/>
      <c r="J79" s="644">
        <f>IF(F79&lt;=1966,'Założenia,wskaźniki, listy'!$H$4,IF(F79&gt;1966,IF(F79&lt;=1985,'Założenia,wskaźniki, listy'!$H$5,IF(F79&gt;1985,IF(F79&lt;=1992,'Założenia,wskaźniki, listy'!$H$6,IF(F79&gt;1992,IF(F79&lt;=1996,'Założenia,wskaźniki, listy'!$H$7,IF(F79&gt;1996,IF(F79&lt;=2015,'Założenia,wskaźniki, listy'!$H$8)))))))))</f>
        <v>290</v>
      </c>
      <c r="K79" s="864" t="s">
        <v>31</v>
      </c>
      <c r="L79" s="872" t="s">
        <v>8</v>
      </c>
      <c r="M79" s="872">
        <v>1.5</v>
      </c>
      <c r="N79" s="644"/>
      <c r="O79" s="637">
        <f t="shared" si="134"/>
        <v>37.837499999999999</v>
      </c>
      <c r="P79" s="646">
        <f>IF(K79="kompletna",J79*G79*0.0036*'Założenia,wskaźniki, listy'!$P$9,IF(K79="częściowa",J79*G79*0.0036*'Założenia,wskaźniki, listy'!$P$10,IF(K79="brak",J79*G79*0.0036*'Założenia,wskaźniki, listy'!$P$11,0)))</f>
        <v>41.76</v>
      </c>
      <c r="Q79" s="638">
        <f>H79*'Założenia,wskaźniki, listy'!$L$15</f>
        <v>0</v>
      </c>
      <c r="R79" s="635">
        <f>IF(L79="węgiel",'Mieszkalne - baza'!M79*'Założenia,wskaźniki, listy'!$B$4,IF(L79="gaz",'Mieszkalne - baza'!M79*'Założenia,wskaźniki, listy'!$B$5,IF(L79="drewno",'Mieszkalne - baza'!M79*'Założenia,wskaźniki, listy'!$B$6,IF(L79="pelet",'Mieszkalne - baza'!M79*'Założenia,wskaźniki, listy'!$B$7,IF(L79="olej opałowy",'Mieszkalne - baza'!M79*'Założenia,wskaźniki, listy'!$B$8,IF(L79="sieć ciepłownicza",0,0))))))</f>
        <v>33.914999999999999</v>
      </c>
      <c r="S79" s="1084">
        <v>1.8048000000000002</v>
      </c>
      <c r="T79" s="639">
        <f>IF(L79="węgiel",R79*'Założenia,wskaźniki, listy'!$C$44,IF(L79="gaz",R79*'Założenia,wskaźniki, listy'!$D$44,IF(L79="drewno",R79*'Założenia,wskaźniki, listy'!$E$44,IF(L79="pelet",R79*'Założenia,wskaźniki, listy'!$F$44,IF(L79="olej opałowy",R79*'Założenia,wskaźniki, listy'!$G$44,IF(L79="sieć ciepłownicza",0,IF(L79="prąd",0,0)))))))</f>
        <v>7.6308749999999996E-3</v>
      </c>
      <c r="U79" s="639">
        <f>IF(L79="węgiel",R79*'Założenia,wskaźniki, listy'!$C$45,IF(L79="gaz",R79*'Założenia,wskaźniki, listy'!$D$45,IF(L79="drewno",R79*'Założenia,wskaźniki, listy'!$E$45,IF(L79="pelet",R79*'Założenia,wskaźniki, listy'!$F$45,IF(L79="olej opałowy",R79*'Założenia,wskaźniki, listy'!$G$45,IF(L79="sieć ciepłownicza",0,IF(L79="prąd",0,0)))))))</f>
        <v>6.8169149999999998E-3</v>
      </c>
      <c r="V79" s="639">
        <f>IF(L79="węgiel",R79*'Założenia,wskaźniki, listy'!$C$46,IF(L79="gaz",R79*'Założenia,wskaźniki, listy'!$D$46,IF(L79="drewno",R79*'Założenia,wskaźniki, listy'!$E$46,IF(L79="pelet",R79*'Założenia,wskaźniki, listy'!$F$46,IF(L79="olej opałowy",R79*'Założenia,wskaźniki, listy'!$G$46,IF(L79="sieć ciepłownicza",R79*'Założenia,wskaźniki, listy'!$H$46,IF(L79="prąd",R79*'Założenia,wskaźniki, listy'!$I$46,0)))))))</f>
        <v>3.1791920999999994</v>
      </c>
      <c r="W79" s="639">
        <f>IF(L79="węgiel",R79*'Założenia,wskaźniki, listy'!$C$47,IF(L79="gaz",R79*'Założenia,wskaźniki, listy'!$D$47,IF(L79="drewno",R79*'Założenia,wskaźniki, listy'!$E$47,IF(L79="pelet",R79*'Założenia,wskaźniki, listy'!$F$47,IF(L79="olej opałowy",R79*'Założenia,wskaźniki, listy'!$G$47,IF(L79="sieć ciepłownicza",0,IF(L79="prąd",0,0)))))))</f>
        <v>9.1570500000000007E-6</v>
      </c>
      <c r="X79" s="639">
        <f>IF(L79="węgiel",R79*'Założenia,wskaźniki, listy'!$C$48, IF(L79="gaz",R79*'Założenia,wskaźniki, listy'!$D$48,IF(L79="drewno",R79*'Założenia,wskaźniki, listy'!$E$48,IF(L79="pelet",R79*'Założenia,wskaźniki, listy'!$F$48,IF(L79="olej opałowy",R79*'Założenia,wskaźniki, listy'!$G$48,IF(L79="sieć ciepłownicza",0,IF(L79="prąd",0,0)))))))</f>
        <v>3.0523499999999999E-2</v>
      </c>
      <c r="Y79" s="639">
        <f>IF(L79="węgiel",R79*'Założenia,wskaźniki, listy'!$C$49, IF(L79="gaz",R79*'Założenia,wskaźniki, listy'!$D$49, IF(L79="drewno",R79*'Założenia,wskaźniki, listy'!$E$49,IF(L79="pelet",R79*'Założenia,wskaźniki, listy'!$F$49,IF(L79="olej opałowy",R79*'Założenia,wskaźniki, listy'!$G$49,IF(L79="sieć ciepłownicza",0,IF(L79="prąd",0,0)))))))</f>
        <v>5.35857E-3</v>
      </c>
      <c r="Z79" s="639">
        <f>IF(L79="węgiel",R79*'Założenia,wskaźniki, listy'!$C$50,IF(L79="gaz",R79*'Założenia,wskaźniki, listy'!$D$50, IF(L79="drewno",R79*'Założenia,wskaźniki, listy'!$E$50,IF(L79="pelet",R79*'Założenia,wskaźniki, listy'!$F$50,IF(L79="pelet",R79*'Założenia,wskaźniki, listy'!$F$50,IF(L79="olej opałowy",R79*'Założenia,wskaźniki, listy'!$G$50,IF(L79="sieć ciepłownicza",0,IF(L79="prąd",0,0))))))))</f>
        <v>6.8224184175234681E-2</v>
      </c>
      <c r="AA79" s="639">
        <f>IF(N79="węgiel",Q79*'Założenia,wskaźniki, listy'!$C$44,IF(N79="gaz",Q79*'Założenia,wskaźniki, listy'!$D$44,IF(N79="drewno",Q79*'Założenia,wskaźniki, listy'!$E$44,IF(N79="pelet",Q79*'Założenia,wskaźniki, listy'!$G$44,IF(N79="olej opałowy",Q79*'Założenia,wskaźniki, listy'!$G$44,IF(N79="sieć ciepłownicza",0,IF(N79="prąd",0,0)))))))</f>
        <v>0</v>
      </c>
      <c r="AB79" s="639">
        <f>IF(N79="węgiel",Q79*'Założenia,wskaźniki, listy'!$C$45,IF(N79="gaz",Q79*'Założenia,wskaźniki, listy'!$D$45,IF(N79="drewno",Q79*'Założenia,wskaźniki, listy'!$E$45,IF(N79="pelet",Q79*'Założenia,wskaźniki, listy'!$G$45,IF(N79="olej opałowy",Q79*'Założenia,wskaźniki, listy'!$G$45,IF(N79="sieć ciepłownicza",0,IF(N79="prąd",0,0)))))))</f>
        <v>0</v>
      </c>
      <c r="AC79" s="639">
        <f>IF(N79="węgiel",Q79*'Założenia,wskaźniki, listy'!$C$46,IF(N79="gaz",Q79*'Założenia,wskaźniki, listy'!$D$46,IF(N79="drewno",Q79*'Założenia,wskaźniki, listy'!$E$46,IF(N79="pelet",Q79*'Założenia,wskaźniki, listy'!$G$46,IF(N79="olej opałowy",Q79*'Założenia,wskaźniki, listy'!$G$46,IF(N79="sieć ciepłownicza",0,IF(N79="prąd",0,0)))))))</f>
        <v>0</v>
      </c>
      <c r="AD79" s="639">
        <f>IF(N79="węgiel",Q79*'Założenia,wskaźniki, listy'!$C$47,IF(N79="gaz",Q79*'Założenia,wskaźniki, listy'!$D$47,IF(N79="drewno",Q79*'Założenia,wskaźniki, listy'!$E$47,IF(N79="pelet",Q79*'Założenia,wskaźniki, listy'!$G$47,IF(N79="olej opałowy",Q79*'Założenia,wskaźniki, listy'!$G$47,IF(N79="sieć ciepłownicza",0,IF(N79="prąd",0,0)))))))</f>
        <v>0</v>
      </c>
      <c r="AE79" s="639">
        <f>IF(N79="węgiel",Q79*'Założenia,wskaźniki, listy'!$C$48,IF(N79="gaz",Q79*'Założenia,wskaźniki, listy'!$D$48,IF(N79="drewno",Q79*'Założenia,wskaźniki, listy'!$E$48,IF(N79="pelet",Q79*'Założenia,wskaźniki, listy'!$G$48,IF(N79="olej opałowy",Q79*'Założenia,wskaźniki, listy'!$G$48,IF(N79="sieć ciepłownicza",0,IF(N79="prąd",0,0)))))))</f>
        <v>0</v>
      </c>
      <c r="AF79" s="639">
        <f>IF(N79="węgiel",Q79*'Założenia,wskaźniki, listy'!$C$49,IF(N79="gaz",Q79*'Założenia,wskaźniki, listy'!$D$49,IF(N79="drewno",Q79*'Założenia,wskaźniki, listy'!$E$49,IF(N79="pelet",Q79*'Założenia,wskaźniki, listy'!$G$49,IF(N79="olej opałowy",Q79*'Założenia,wskaźniki, listy'!$G$49,IF(N79="sieć ciepłownicza",0,IF(N79="prąd",0,0)))))))</f>
        <v>0</v>
      </c>
      <c r="AG79" s="639">
        <f>IF(N79="węgiel",Q79*'Założenia,wskaźniki, listy'!$C$50,IF(N79="gaz",Q79*'Założenia,wskaźniki, listy'!$D$50,IF(N79="drewno",Q79*'Założenia,wskaźniki, listy'!$E$50,IF(N79="pelet",Q79*'Założenia,wskaźniki, listy'!$G$50,IF(N79="olej opałowy",Q79*'Założenia,wskaźniki, listy'!$G$50,IF(N79="sieć ciepłownicza",0,IF(N79="prąd",0,0)))))))</f>
        <v>0</v>
      </c>
      <c r="AH79" s="640">
        <f>IF(L79="węgiel",(P79+R79)/2*'Założenia,wskaźniki, listy'!$C$4,IF(L79="gaz",(P79+R79)/2*'Założenia,wskaźniki, listy'!$C$5,IF(L79="drewno",(P79+R79)/2*'Założenia,wskaźniki, listy'!$C$6,IF(L79="pelet",(P79+R79)/2*'Założenia,wskaźniki, listy'!$C$7,IF(L79="olej opałowy",(P79+R79)/2*'Założenia,wskaźniki, listy'!$C$8,IF(L79="sieć ciepłownicza",(P79+R79)/2*'Założenia,wskaźniki, listy'!$C$9,IF(L79="sieć ciepłownicza",(P79+R79)/2*'Założenia,wskaźniki, listy'!$C$10,)))))))</f>
        <v>1551.3374999999999</v>
      </c>
      <c r="AI79" s="640">
        <f>IF(N79="węgiel",Q79*'Założenia,wskaźniki, listy'!$C$4,IF(N79="gaz",Q79*'Założenia,wskaźniki, listy'!$C$5,IF(N79="drewno",Q79*'Założenia,wskaźniki, listy'!$C$6,IF(N79="pelet",Q79*'Założenia,wskaźniki, listy'!$C$7,IF(N79="olej opałowy",Q79*'Założenia,wskaźniki, listy'!$C$8,IF(N79="sieć ciepłownicza",Q79*'Założenia,wskaźniki, listy'!$C$9,IF(N79="sieć ciepłownicza",Q79*'Założenia,wskaźniki, listy'!$C$10,0)))))))</f>
        <v>0</v>
      </c>
      <c r="AJ79" s="640">
        <f>S79*'Założenia,wskaźniki, listy'!$B$64*1000</f>
        <v>1281.4080000000001</v>
      </c>
      <c r="AK79" s="640">
        <f>(H79+I79)*'Założenia,wskaźniki, listy'!$D$64*12</f>
        <v>0</v>
      </c>
      <c r="AL79" s="640">
        <f>AK79*'Założenia,wskaźniki, listy'!$F$64</f>
        <v>0</v>
      </c>
      <c r="AM79" s="639">
        <f t="shared" si="128"/>
        <v>7.6308749999999996E-3</v>
      </c>
      <c r="AN79" s="639">
        <f t="shared" si="129"/>
        <v>6.8169149999999998E-3</v>
      </c>
      <c r="AO79" s="639">
        <f>V79+AC79+S79*'Założenia,wskaźniki, listy'!$J$46</f>
        <v>4.6798832999999993</v>
      </c>
      <c r="AP79" s="639">
        <f t="shared" si="130"/>
        <v>9.1570500000000007E-6</v>
      </c>
      <c r="AQ79" s="639">
        <f t="shared" si="131"/>
        <v>3.0523499999999999E-2</v>
      </c>
      <c r="AR79" s="639">
        <f t="shared" si="132"/>
        <v>5.35857E-3</v>
      </c>
      <c r="AS79" s="639">
        <f t="shared" si="133"/>
        <v>6.8224184175234681E-2</v>
      </c>
      <c r="AT79" s="647"/>
      <c r="AU79" s="647"/>
      <c r="AV79" s="624">
        <f t="shared" si="135"/>
        <v>40</v>
      </c>
      <c r="AW79" s="624" t="b">
        <f t="shared" si="136"/>
        <v>0</v>
      </c>
      <c r="AX79" s="624" t="b">
        <f t="shared" si="137"/>
        <v>0</v>
      </c>
      <c r="AY79" s="624" t="b">
        <f t="shared" si="138"/>
        <v>0</v>
      </c>
      <c r="AZ79" s="624" t="b">
        <f t="shared" si="139"/>
        <v>0</v>
      </c>
      <c r="BA79" s="624" t="b">
        <f t="shared" si="140"/>
        <v>0</v>
      </c>
      <c r="BB79" s="624" t="b">
        <f t="shared" si="141"/>
        <v>0</v>
      </c>
      <c r="BC79" s="624" t="b">
        <f t="shared" si="142"/>
        <v>0</v>
      </c>
      <c r="BD79" s="624" t="b">
        <f t="shared" si="143"/>
        <v>0</v>
      </c>
      <c r="BE79" s="624" t="b">
        <f t="shared" si="144"/>
        <v>0</v>
      </c>
      <c r="BF79" s="624">
        <f t="shared" si="145"/>
        <v>33.914999999999999</v>
      </c>
      <c r="BG79" s="624" t="b">
        <f t="shared" si="146"/>
        <v>0</v>
      </c>
      <c r="BH79" s="624" t="b">
        <f t="shared" si="147"/>
        <v>0</v>
      </c>
      <c r="BI79" s="624" t="b">
        <f t="shared" si="148"/>
        <v>0</v>
      </c>
      <c r="BJ79" s="624" t="b">
        <f t="shared" si="149"/>
        <v>0</v>
      </c>
      <c r="BK79" s="624" t="b">
        <f t="shared" si="150"/>
        <v>0</v>
      </c>
      <c r="BL79" s="624" t="b">
        <f t="shared" si="151"/>
        <v>0</v>
      </c>
      <c r="BM79" s="624" t="b">
        <f t="shared" si="152"/>
        <v>0</v>
      </c>
      <c r="BN79" s="624" t="b">
        <f t="shared" si="153"/>
        <v>0</v>
      </c>
      <c r="BO79" s="624" t="b">
        <f t="shared" si="154"/>
        <v>0</v>
      </c>
      <c r="BP79" s="624" t="b">
        <f t="shared" si="155"/>
        <v>0</v>
      </c>
      <c r="BQ79" s="624" t="b">
        <f t="shared" si="156"/>
        <v>0</v>
      </c>
    </row>
    <row r="80" spans="1:69">
      <c r="A80" s="1087"/>
      <c r="B80" s="872"/>
      <c r="C80" s="872"/>
      <c r="D80" s="645"/>
      <c r="E80" s="645"/>
      <c r="F80" s="644"/>
      <c r="G80" s="644"/>
      <c r="H80" s="644"/>
      <c r="I80" s="635"/>
      <c r="J80" s="644">
        <f>IF(F80&lt;=1966,'Założenia,wskaźniki, listy'!$H$4,IF(F80&gt;1966,IF(F80&lt;=1985,'Założenia,wskaźniki, listy'!$H$5,IF(F80&gt;1985,IF(F80&lt;=1992,'Założenia,wskaźniki, listy'!$H$6,IF(F80&gt;1992,IF(F80&lt;=1996,'Założenia,wskaźniki, listy'!$H$7,IF(F80&gt;1996,IF(F80&lt;=2015,'Założenia,wskaźniki, listy'!$H$8)))))))))</f>
        <v>290</v>
      </c>
      <c r="K80" s="872"/>
      <c r="L80" s="644"/>
      <c r="M80" s="644"/>
      <c r="N80" s="644"/>
      <c r="O80" s="637">
        <f t="shared" si="134"/>
        <v>0</v>
      </c>
      <c r="P80" s="646">
        <f>IF(K80="kompletna",J80*G80*0.0036*'Założenia,wskaźniki, listy'!$P$9,IF(K80="częściowa",J80*G80*0.0036*'Założenia,wskaźniki, listy'!$P$10,IF(K80="brak",J80*G80*0.0036*'Założenia,wskaźniki, listy'!$P$11,0)))</f>
        <v>0</v>
      </c>
      <c r="Q80" s="638">
        <f>H80*'Założenia,wskaźniki, listy'!$L$15</f>
        <v>0</v>
      </c>
      <c r="R80" s="635">
        <f>IF(L80="węgiel",'Mieszkalne - baza'!M80*'Założenia,wskaźniki, listy'!$B$4,IF(L80="gaz",'Mieszkalne - baza'!M80*'Założenia,wskaźniki, listy'!$B$5,IF(L80="drewno",'Mieszkalne - baza'!M80*'Założenia,wskaźniki, listy'!$B$6,IF(L80="pelet",'Mieszkalne - baza'!M80*'Założenia,wskaźniki, listy'!$B$7,IF(L80="olej opałowy",'Mieszkalne - baza'!M80*'Założenia,wskaźniki, listy'!$B$8,IF(L80="sieć ciepłownicza",0,0))))))</f>
        <v>0</v>
      </c>
      <c r="S80" s="1085"/>
      <c r="T80" s="639">
        <f>IF(L80="węgiel",R80*'Założenia,wskaźniki, listy'!$C$44,IF(L80="gaz",R80*'Założenia,wskaźniki, listy'!$D$44,IF(L80="drewno",R80*'Założenia,wskaźniki, listy'!$E$44,IF(L80="pelet",R80*'Założenia,wskaźniki, listy'!$F$44,IF(L80="olej opałowy",R80*'Założenia,wskaźniki, listy'!$G$44,IF(L80="sieć ciepłownicza",0,IF(L80="prąd",0,0)))))))</f>
        <v>0</v>
      </c>
      <c r="U80" s="639">
        <f>IF(L80="węgiel",R80*'Założenia,wskaźniki, listy'!$C$45,IF(L80="gaz",R80*'Założenia,wskaźniki, listy'!$D$45,IF(L80="drewno",R80*'Założenia,wskaźniki, listy'!$E$45,IF(L80="pelet",R80*'Założenia,wskaźniki, listy'!$F$45,IF(L80="olej opałowy",R80*'Założenia,wskaźniki, listy'!$G$45,IF(L80="sieć ciepłownicza",0,IF(L80="prąd",0,0)))))))</f>
        <v>0</v>
      </c>
      <c r="V80" s="639">
        <f>IF(L80="węgiel",R80*'Założenia,wskaźniki, listy'!$C$46,IF(L80="gaz",R80*'Założenia,wskaźniki, listy'!$D$46,IF(L80="drewno",R80*'Założenia,wskaźniki, listy'!$E$46,IF(L80="pelet",R80*'Założenia,wskaźniki, listy'!$F$46,IF(L80="olej opałowy",R80*'Założenia,wskaźniki, listy'!$G$46,IF(L80="sieć ciepłownicza",R80*'Założenia,wskaźniki, listy'!$H$46,IF(L80="prąd",R80*'Założenia,wskaźniki, listy'!$I$46,0)))))))</f>
        <v>0</v>
      </c>
      <c r="W80" s="639">
        <f>IF(L80="węgiel",R80*'Założenia,wskaźniki, listy'!$C$47,IF(L80="gaz",R80*'Założenia,wskaźniki, listy'!$D$47,IF(L80="drewno",R80*'Założenia,wskaźniki, listy'!$E$47,IF(L80="pelet",R80*'Założenia,wskaźniki, listy'!$F$47,IF(L80="olej opałowy",R80*'Założenia,wskaźniki, listy'!$G$47,IF(L80="sieć ciepłownicza",0,IF(L80="prąd",0,0)))))))</f>
        <v>0</v>
      </c>
      <c r="X80" s="639">
        <f>IF(L80="węgiel",R80*'Założenia,wskaźniki, listy'!$C$48, IF(L80="gaz",R80*'Założenia,wskaźniki, listy'!$D$48,IF(L80="drewno",R80*'Założenia,wskaźniki, listy'!$E$48,IF(L80="pelet",R80*'Założenia,wskaźniki, listy'!$F$48,IF(L80="olej opałowy",R80*'Założenia,wskaźniki, listy'!$G$48,IF(L80="sieć ciepłownicza",0,IF(L80="prąd",0,0)))))))</f>
        <v>0</v>
      </c>
      <c r="Y80" s="639">
        <f>IF(L80="węgiel",R80*'Założenia,wskaźniki, listy'!$C$49, IF(L80="gaz",R80*'Założenia,wskaźniki, listy'!$D$49, IF(L80="drewno",R80*'Założenia,wskaźniki, listy'!$E$49,IF(L80="pelet",R80*'Założenia,wskaźniki, listy'!$F$49,IF(L80="olej opałowy",R80*'Założenia,wskaźniki, listy'!$G$49,IF(L80="sieć ciepłownicza",0,IF(L80="prąd",0,0)))))))</f>
        <v>0</v>
      </c>
      <c r="Z80" s="639">
        <f>IF(L80="węgiel",R80*'Założenia,wskaźniki, listy'!$C$50,IF(L80="gaz",R80*'Założenia,wskaźniki, listy'!$D$50, IF(L80="drewno",R80*'Założenia,wskaźniki, listy'!$E$50,IF(L80="pelet",R80*'Założenia,wskaźniki, listy'!$F$50,IF(L80="pelet",R80*'Założenia,wskaźniki, listy'!$F$50,IF(L80="olej opałowy",R80*'Założenia,wskaźniki, listy'!$G$50,IF(L80="sieć ciepłownicza",0,IF(L80="prąd",0,0))))))))</f>
        <v>0</v>
      </c>
      <c r="AA80" s="639">
        <f>IF(N80="węgiel",Q80*'Założenia,wskaźniki, listy'!$C$44,IF(N80="gaz",Q80*'Założenia,wskaźniki, listy'!$D$44,IF(N80="drewno",Q80*'Założenia,wskaźniki, listy'!$E$44,IF(N80="pelet",Q80*'Założenia,wskaźniki, listy'!$G$44,IF(N80="olej opałowy",Q80*'Założenia,wskaźniki, listy'!$G$44,IF(N80="sieć ciepłownicza",0,IF(N80="prąd",0,0)))))))</f>
        <v>0</v>
      </c>
      <c r="AB80" s="639">
        <f>IF(N80="węgiel",Q80*'Założenia,wskaźniki, listy'!$C$45,IF(N80="gaz",Q80*'Założenia,wskaźniki, listy'!$D$45,IF(N80="drewno",Q80*'Założenia,wskaźniki, listy'!$E$45,IF(N80="pelet",Q80*'Założenia,wskaźniki, listy'!$G$45,IF(N80="olej opałowy",Q80*'Założenia,wskaźniki, listy'!$G$45,IF(N80="sieć ciepłownicza",0,IF(N80="prąd",0,0)))))))</f>
        <v>0</v>
      </c>
      <c r="AC80" s="639">
        <f>IF(N80="węgiel",Q80*'Założenia,wskaźniki, listy'!$C$46,IF(N80="gaz",Q80*'Założenia,wskaźniki, listy'!$D$46,IF(N80="drewno",Q80*'Założenia,wskaźniki, listy'!$E$46,IF(N80="pelet",Q80*'Założenia,wskaźniki, listy'!$G$46,IF(N80="olej opałowy",Q80*'Założenia,wskaźniki, listy'!$G$46,IF(N80="sieć ciepłownicza",0,IF(N80="prąd",0,0)))))))</f>
        <v>0</v>
      </c>
      <c r="AD80" s="639">
        <f>IF(N80="węgiel",Q80*'Założenia,wskaźniki, listy'!$C$47,IF(N80="gaz",Q80*'Założenia,wskaźniki, listy'!$D$47,IF(N80="drewno",Q80*'Założenia,wskaźniki, listy'!$E$47,IF(N80="pelet",Q80*'Założenia,wskaźniki, listy'!$G$47,IF(N80="olej opałowy",Q80*'Założenia,wskaźniki, listy'!$G$47,IF(N80="sieć ciepłownicza",0,IF(N80="prąd",0,0)))))))</f>
        <v>0</v>
      </c>
      <c r="AE80" s="639">
        <f>IF(N80="węgiel",Q80*'Założenia,wskaźniki, listy'!$C$48,IF(N80="gaz",Q80*'Założenia,wskaźniki, listy'!$D$48,IF(N80="drewno",Q80*'Założenia,wskaźniki, listy'!$E$48,IF(N80="pelet",Q80*'Założenia,wskaźniki, listy'!$G$48,IF(N80="olej opałowy",Q80*'Założenia,wskaźniki, listy'!$G$48,IF(N80="sieć ciepłownicza",0,IF(N80="prąd",0,0)))))))</f>
        <v>0</v>
      </c>
      <c r="AF80" s="639">
        <f>IF(N80="węgiel",Q80*'Założenia,wskaźniki, listy'!$C$49,IF(N80="gaz",Q80*'Założenia,wskaźniki, listy'!$D$49,IF(N80="drewno",Q80*'Założenia,wskaźniki, listy'!$E$49,IF(N80="pelet",Q80*'Założenia,wskaźniki, listy'!$G$49,IF(N80="olej opałowy",Q80*'Założenia,wskaźniki, listy'!$G$49,IF(N80="sieć ciepłownicza",0,IF(N80="prąd",0,0)))))))</f>
        <v>0</v>
      </c>
      <c r="AG80" s="639">
        <f>IF(N80="węgiel",Q80*'Założenia,wskaźniki, listy'!$C$50,IF(N80="gaz",Q80*'Założenia,wskaźniki, listy'!$D$50,IF(N80="drewno",Q80*'Założenia,wskaźniki, listy'!$E$50,IF(N80="pelet",Q80*'Założenia,wskaźniki, listy'!$G$50,IF(N80="olej opałowy",Q80*'Założenia,wskaźniki, listy'!$G$50,IF(N80="sieć ciepłownicza",0,IF(N80="prąd",0,0)))))))</f>
        <v>0</v>
      </c>
      <c r="AH80" s="640">
        <f>IF(L80="węgiel",(P80+R80)/2*'Założenia,wskaźniki, listy'!$C$4,IF(L80="gaz",(P80+R80)/2*'Założenia,wskaźniki, listy'!$C$5,IF(L80="drewno",(P80+R80)/2*'Założenia,wskaźniki, listy'!$C$6,IF(L80="pelet",(P80+R80)/2*'Założenia,wskaźniki, listy'!$C$7,IF(L80="olej opałowy",(P80+R80)/2*'Założenia,wskaźniki, listy'!$C$8,IF(L80="sieć ciepłownicza",(P80+R80)/2*'Założenia,wskaźniki, listy'!$C$9,IF(L80="sieć ciepłownicza",(P80+R80)/2*'Założenia,wskaźniki, listy'!$C$10,)))))))</f>
        <v>0</v>
      </c>
      <c r="AI80" s="640">
        <f>IF(N80="węgiel",Q80*'Założenia,wskaźniki, listy'!$C$4,IF(N80="gaz",Q80*'Założenia,wskaźniki, listy'!$C$5,IF(N80="drewno",Q80*'Założenia,wskaźniki, listy'!$C$6,IF(N80="pelet",Q80*'Założenia,wskaźniki, listy'!$C$7,IF(N80="olej opałowy",Q80*'Założenia,wskaźniki, listy'!$C$8,IF(N80="sieć ciepłownicza",Q80*'Założenia,wskaźniki, listy'!$C$9,IF(N80="sieć ciepłownicza",Q80*'Założenia,wskaźniki, listy'!$C$10,0)))))))</f>
        <v>0</v>
      </c>
      <c r="AJ80" s="640">
        <f>S80*'Założenia,wskaźniki, listy'!$B$64*1000</f>
        <v>0</v>
      </c>
      <c r="AK80" s="640">
        <f>(H80+I80)*'Założenia,wskaźniki, listy'!$D$64*12</f>
        <v>0</v>
      </c>
      <c r="AL80" s="640">
        <f>AK80*'Założenia,wskaźniki, listy'!$F$64</f>
        <v>0</v>
      </c>
      <c r="AM80" s="639">
        <f t="shared" si="128"/>
        <v>0</v>
      </c>
      <c r="AN80" s="639">
        <f t="shared" si="129"/>
        <v>0</v>
      </c>
      <c r="AO80" s="639">
        <f>V80+AC80+S80*'Założenia,wskaźniki, listy'!$J$46</f>
        <v>0</v>
      </c>
      <c r="AP80" s="639">
        <f t="shared" si="130"/>
        <v>0</v>
      </c>
      <c r="AQ80" s="639">
        <f t="shared" si="131"/>
        <v>0</v>
      </c>
      <c r="AR80" s="639">
        <f t="shared" si="132"/>
        <v>0</v>
      </c>
      <c r="AS80" s="639">
        <f t="shared" si="133"/>
        <v>0</v>
      </c>
      <c r="AT80" s="647"/>
      <c r="AU80" s="647"/>
      <c r="AV80" s="624">
        <f t="shared" si="135"/>
        <v>0</v>
      </c>
      <c r="AW80" s="624" t="b">
        <f t="shared" si="136"/>
        <v>0</v>
      </c>
      <c r="AX80" s="624" t="b">
        <f t="shared" si="137"/>
        <v>0</v>
      </c>
      <c r="AY80" s="624" t="b">
        <f t="shared" si="138"/>
        <v>0</v>
      </c>
      <c r="AZ80" s="624" t="b">
        <f t="shared" si="139"/>
        <v>0</v>
      </c>
      <c r="BA80" s="624" t="b">
        <f t="shared" si="140"/>
        <v>0</v>
      </c>
      <c r="BB80" s="624" t="b">
        <f t="shared" si="141"/>
        <v>0</v>
      </c>
      <c r="BC80" s="624" t="b">
        <f t="shared" si="142"/>
        <v>0</v>
      </c>
      <c r="BD80" s="624" t="b">
        <f t="shared" si="143"/>
        <v>0</v>
      </c>
      <c r="BE80" s="624" t="b">
        <f t="shared" si="144"/>
        <v>0</v>
      </c>
      <c r="BF80" s="624" t="b">
        <f t="shared" si="145"/>
        <v>0</v>
      </c>
      <c r="BG80" s="624" t="b">
        <f t="shared" si="146"/>
        <v>0</v>
      </c>
      <c r="BH80" s="624" t="b">
        <f t="shared" si="147"/>
        <v>0</v>
      </c>
      <c r="BI80" s="624" t="b">
        <f t="shared" si="148"/>
        <v>0</v>
      </c>
      <c r="BJ80" s="624" t="b">
        <f t="shared" si="149"/>
        <v>0</v>
      </c>
      <c r="BK80" s="624" t="b">
        <f t="shared" si="150"/>
        <v>0</v>
      </c>
      <c r="BL80" s="624" t="b">
        <f t="shared" si="151"/>
        <v>0</v>
      </c>
      <c r="BM80" s="624" t="b">
        <f t="shared" si="152"/>
        <v>0</v>
      </c>
      <c r="BN80" s="624" t="b">
        <f t="shared" si="153"/>
        <v>0</v>
      </c>
      <c r="BO80" s="624" t="b">
        <f t="shared" si="154"/>
        <v>0</v>
      </c>
      <c r="BP80" s="624" t="b">
        <f t="shared" si="155"/>
        <v>0</v>
      </c>
      <c r="BQ80" s="624" t="b">
        <f t="shared" si="156"/>
        <v>0</v>
      </c>
    </row>
    <row r="81" spans="1:70">
      <c r="A81" s="1086">
        <v>39</v>
      </c>
      <c r="B81" s="872" t="s">
        <v>21</v>
      </c>
      <c r="C81" s="873" t="s">
        <v>621</v>
      </c>
      <c r="D81" s="645" t="s">
        <v>628</v>
      </c>
      <c r="E81" s="645">
        <v>35</v>
      </c>
      <c r="F81" s="872">
        <v>1946</v>
      </c>
      <c r="G81" s="644">
        <v>40</v>
      </c>
      <c r="H81" s="644"/>
      <c r="I81" s="635"/>
      <c r="J81" s="644">
        <f>IF(F81&lt;=1966,'Założenia,wskaźniki, listy'!$H$4,IF(F81&gt;1966,IF(F81&lt;=1985,'Założenia,wskaźniki, listy'!$H$5,IF(F81&gt;1985,IF(F81&lt;=1992,'Założenia,wskaźniki, listy'!$H$6,IF(F81&gt;1992,IF(F81&lt;=1996,'Założenia,wskaźniki, listy'!$H$7,IF(F81&gt;1996,IF(F81&lt;=2015,'Założenia,wskaźniki, listy'!$H$8)))))))))</f>
        <v>290</v>
      </c>
      <c r="K81" s="864" t="s">
        <v>31</v>
      </c>
      <c r="L81" s="872" t="s">
        <v>8</v>
      </c>
      <c r="M81" s="872">
        <v>1.5</v>
      </c>
      <c r="N81" s="644"/>
      <c r="O81" s="637">
        <f t="shared" si="134"/>
        <v>37.837499999999999</v>
      </c>
      <c r="P81" s="646">
        <f>IF(K81="kompletna",J81*G81*0.0036*'Założenia,wskaźniki, listy'!$P$9,IF(K81="częściowa",J81*G81*0.0036*'Założenia,wskaźniki, listy'!$P$10,IF(K81="brak",J81*G81*0.0036*'Założenia,wskaźniki, listy'!$P$11,0)))</f>
        <v>41.76</v>
      </c>
      <c r="Q81" s="638">
        <f>H81*'Założenia,wskaźniki, listy'!$L$15</f>
        <v>0</v>
      </c>
      <c r="R81" s="635">
        <f>IF(L81="węgiel",'Mieszkalne - baza'!M81*'Założenia,wskaźniki, listy'!$B$4,IF(L81="gaz",'Mieszkalne - baza'!M81*'Założenia,wskaźniki, listy'!$B$5,IF(L81="drewno",'Mieszkalne - baza'!M81*'Założenia,wskaźniki, listy'!$B$6,IF(L81="pelet",'Mieszkalne - baza'!M81*'Założenia,wskaźniki, listy'!$B$7,IF(L81="olej opałowy",'Mieszkalne - baza'!M81*'Założenia,wskaźniki, listy'!$B$8,IF(L81="sieć ciepłownicza",0,0))))))</f>
        <v>33.914999999999999</v>
      </c>
      <c r="S81" s="1084">
        <v>1.6919999999999999</v>
      </c>
      <c r="T81" s="639">
        <f>IF(L81="węgiel",R81*'Założenia,wskaźniki, listy'!$C$44,IF(L81="gaz",R81*'Założenia,wskaźniki, listy'!$D$44,IF(L81="drewno",R81*'Założenia,wskaźniki, listy'!$E$44,IF(L81="pelet",R81*'Założenia,wskaźniki, listy'!$F$44,IF(L81="olej opałowy",R81*'Założenia,wskaźniki, listy'!$G$44,IF(L81="sieć ciepłownicza",0,IF(L81="prąd",0,0)))))))</f>
        <v>7.6308749999999996E-3</v>
      </c>
      <c r="U81" s="639">
        <f>IF(L81="węgiel",R81*'Założenia,wskaźniki, listy'!$C$45,IF(L81="gaz",R81*'Założenia,wskaźniki, listy'!$D$45,IF(L81="drewno",R81*'Założenia,wskaźniki, listy'!$E$45,IF(L81="pelet",R81*'Założenia,wskaźniki, listy'!$F$45,IF(L81="olej opałowy",R81*'Założenia,wskaźniki, listy'!$G$45,IF(L81="sieć ciepłownicza",0,IF(L81="prąd",0,0)))))))</f>
        <v>6.8169149999999998E-3</v>
      </c>
      <c r="V81" s="639">
        <f>IF(L81="węgiel",R81*'Założenia,wskaźniki, listy'!$C$46,IF(L81="gaz",R81*'Założenia,wskaźniki, listy'!$D$46,IF(L81="drewno",R81*'Założenia,wskaźniki, listy'!$E$46,IF(L81="pelet",R81*'Założenia,wskaźniki, listy'!$F$46,IF(L81="olej opałowy",R81*'Założenia,wskaźniki, listy'!$G$46,IF(L81="sieć ciepłownicza",R81*'Założenia,wskaźniki, listy'!$H$46,IF(L81="prąd",R81*'Założenia,wskaźniki, listy'!$I$46,0)))))))</f>
        <v>3.1791920999999994</v>
      </c>
      <c r="W81" s="639">
        <f>IF(L81="węgiel",R81*'Założenia,wskaźniki, listy'!$C$47,IF(L81="gaz",R81*'Założenia,wskaźniki, listy'!$D$47,IF(L81="drewno",R81*'Założenia,wskaźniki, listy'!$E$47,IF(L81="pelet",R81*'Założenia,wskaźniki, listy'!$F$47,IF(L81="olej opałowy",R81*'Założenia,wskaźniki, listy'!$G$47,IF(L81="sieć ciepłownicza",0,IF(L81="prąd",0,0)))))))</f>
        <v>9.1570500000000007E-6</v>
      </c>
      <c r="X81" s="639">
        <f>IF(L81="węgiel",R81*'Założenia,wskaźniki, listy'!$C$48, IF(L81="gaz",R81*'Założenia,wskaźniki, listy'!$D$48,IF(L81="drewno",R81*'Założenia,wskaźniki, listy'!$E$48,IF(L81="pelet",R81*'Założenia,wskaźniki, listy'!$F$48,IF(L81="olej opałowy",R81*'Założenia,wskaźniki, listy'!$G$48,IF(L81="sieć ciepłownicza",0,IF(L81="prąd",0,0)))))))</f>
        <v>3.0523499999999999E-2</v>
      </c>
      <c r="Y81" s="639">
        <f>IF(L81="węgiel",R81*'Założenia,wskaźniki, listy'!$C$49, IF(L81="gaz",R81*'Założenia,wskaźniki, listy'!$D$49, IF(L81="drewno",R81*'Założenia,wskaźniki, listy'!$E$49,IF(L81="pelet",R81*'Założenia,wskaźniki, listy'!$F$49,IF(L81="olej opałowy",R81*'Założenia,wskaźniki, listy'!$G$49,IF(L81="sieć ciepłownicza",0,IF(L81="prąd",0,0)))))))</f>
        <v>5.35857E-3</v>
      </c>
      <c r="Z81" s="639">
        <f>IF(L81="węgiel",R81*'Założenia,wskaźniki, listy'!$C$50,IF(L81="gaz",R81*'Założenia,wskaźniki, listy'!$D$50, IF(L81="drewno",R81*'Założenia,wskaźniki, listy'!$E$50,IF(L81="pelet",R81*'Założenia,wskaźniki, listy'!$F$50,IF(L81="pelet",R81*'Założenia,wskaźniki, listy'!$F$50,IF(L81="olej opałowy",R81*'Założenia,wskaźniki, listy'!$G$50,IF(L81="sieć ciepłownicza",0,IF(L81="prąd",0,0))))))))</f>
        <v>6.8224184175234681E-2</v>
      </c>
      <c r="AA81" s="639">
        <f>IF(N81="węgiel",Q81*'Założenia,wskaźniki, listy'!$C$44,IF(N81="gaz",Q81*'Założenia,wskaźniki, listy'!$D$44,IF(N81="drewno",Q81*'Założenia,wskaźniki, listy'!$E$44,IF(N81="pelet",Q81*'Założenia,wskaźniki, listy'!$G$44,IF(N81="olej opałowy",Q81*'Założenia,wskaźniki, listy'!$G$44,IF(N81="sieć ciepłownicza",0,IF(N81="prąd",0,0)))))))</f>
        <v>0</v>
      </c>
      <c r="AB81" s="639">
        <f>IF(N81="węgiel",Q81*'Założenia,wskaźniki, listy'!$C$45,IF(N81="gaz",Q81*'Założenia,wskaźniki, listy'!$D$45,IF(N81="drewno",Q81*'Założenia,wskaźniki, listy'!$E$45,IF(N81="pelet",Q81*'Założenia,wskaźniki, listy'!$G$45,IF(N81="olej opałowy",Q81*'Założenia,wskaźniki, listy'!$G$45,IF(N81="sieć ciepłownicza",0,IF(N81="prąd",0,0)))))))</f>
        <v>0</v>
      </c>
      <c r="AC81" s="639">
        <f>IF(N81="węgiel",Q81*'Założenia,wskaźniki, listy'!$C$46,IF(N81="gaz",Q81*'Założenia,wskaźniki, listy'!$D$46,IF(N81="drewno",Q81*'Założenia,wskaźniki, listy'!$E$46,IF(N81="pelet",Q81*'Założenia,wskaźniki, listy'!$G$46,IF(N81="olej opałowy",Q81*'Założenia,wskaźniki, listy'!$G$46,IF(N81="sieć ciepłownicza",0,IF(N81="prąd",0,0)))))))</f>
        <v>0</v>
      </c>
      <c r="AD81" s="639">
        <f>IF(N81="węgiel",Q81*'Założenia,wskaźniki, listy'!$C$47,IF(N81="gaz",Q81*'Założenia,wskaźniki, listy'!$D$47,IF(N81="drewno",Q81*'Założenia,wskaźniki, listy'!$E$47,IF(N81="pelet",Q81*'Założenia,wskaźniki, listy'!$G$47,IF(N81="olej opałowy",Q81*'Założenia,wskaźniki, listy'!$G$47,IF(N81="sieć ciepłownicza",0,IF(N81="prąd",0,0)))))))</f>
        <v>0</v>
      </c>
      <c r="AE81" s="639">
        <f>IF(N81="węgiel",Q81*'Założenia,wskaźniki, listy'!$C$48,IF(N81="gaz",Q81*'Założenia,wskaźniki, listy'!$D$48,IF(N81="drewno",Q81*'Założenia,wskaźniki, listy'!$E$48,IF(N81="pelet",Q81*'Założenia,wskaźniki, listy'!$G$48,IF(N81="olej opałowy",Q81*'Założenia,wskaźniki, listy'!$G$48,IF(N81="sieć ciepłownicza",0,IF(N81="prąd",0,0)))))))</f>
        <v>0</v>
      </c>
      <c r="AF81" s="639">
        <f>IF(N81="węgiel",Q81*'Założenia,wskaźniki, listy'!$C$49,IF(N81="gaz",Q81*'Założenia,wskaźniki, listy'!$D$49,IF(N81="drewno",Q81*'Założenia,wskaźniki, listy'!$E$49,IF(N81="pelet",Q81*'Założenia,wskaźniki, listy'!$G$49,IF(N81="olej opałowy",Q81*'Założenia,wskaźniki, listy'!$G$49,IF(N81="sieć ciepłownicza",0,IF(N81="prąd",0,0)))))))</f>
        <v>0</v>
      </c>
      <c r="AG81" s="639">
        <f>IF(N81="węgiel",Q81*'Założenia,wskaźniki, listy'!$C$50,IF(N81="gaz",Q81*'Założenia,wskaźniki, listy'!$D$50,IF(N81="drewno",Q81*'Założenia,wskaźniki, listy'!$E$50,IF(N81="pelet",Q81*'Założenia,wskaźniki, listy'!$G$50,IF(N81="olej opałowy",Q81*'Założenia,wskaźniki, listy'!$G$50,IF(N81="sieć ciepłownicza",0,IF(N81="prąd",0,0)))))))</f>
        <v>0</v>
      </c>
      <c r="AH81" s="640">
        <f>IF(L81="węgiel",(P81+R81)/2*'Założenia,wskaźniki, listy'!$C$4,IF(L81="gaz",(P81+R81)/2*'Założenia,wskaźniki, listy'!$C$5,IF(L81="drewno",(P81+R81)/2*'Założenia,wskaźniki, listy'!$C$6,IF(L81="pelet",(P81+R81)/2*'Założenia,wskaźniki, listy'!$C$7,IF(L81="olej opałowy",(P81+R81)/2*'Założenia,wskaźniki, listy'!$C$8,IF(L81="sieć ciepłownicza",(P81+R81)/2*'Założenia,wskaźniki, listy'!$C$9,IF(L81="sieć ciepłownicza",(P81+R81)/2*'Założenia,wskaźniki, listy'!$C$10,)))))))</f>
        <v>1551.3374999999999</v>
      </c>
      <c r="AI81" s="640">
        <f>IF(N81="węgiel",Q81*'Założenia,wskaźniki, listy'!$C$4,IF(N81="gaz",Q81*'Założenia,wskaźniki, listy'!$C$5,IF(N81="drewno",Q81*'Założenia,wskaźniki, listy'!$C$6,IF(N81="pelet",Q81*'Założenia,wskaźniki, listy'!$C$7,IF(N81="olej opałowy",Q81*'Założenia,wskaźniki, listy'!$C$8,IF(N81="sieć ciepłownicza",Q81*'Założenia,wskaźniki, listy'!$C$9,IF(N81="sieć ciepłownicza",Q81*'Założenia,wskaźniki, listy'!$C$10,0)))))))</f>
        <v>0</v>
      </c>
      <c r="AJ81" s="640">
        <f>S81*'Założenia,wskaźniki, listy'!$B$64*1000</f>
        <v>1201.32</v>
      </c>
      <c r="AK81" s="640">
        <f>(H81+I81)*'Założenia,wskaźniki, listy'!$D$64*12</f>
        <v>0</v>
      </c>
      <c r="AL81" s="640">
        <f>AK81*'Założenia,wskaźniki, listy'!$F$64</f>
        <v>0</v>
      </c>
      <c r="AM81" s="639">
        <f t="shared" si="128"/>
        <v>7.6308749999999996E-3</v>
      </c>
      <c r="AN81" s="639">
        <f t="shared" si="129"/>
        <v>6.8169149999999998E-3</v>
      </c>
      <c r="AO81" s="639">
        <f>V81+AC81+S81*'Założenia,wskaźniki, listy'!$J$46</f>
        <v>4.5860900999999998</v>
      </c>
      <c r="AP81" s="639">
        <f t="shared" si="130"/>
        <v>9.1570500000000007E-6</v>
      </c>
      <c r="AQ81" s="639">
        <f t="shared" si="131"/>
        <v>3.0523499999999999E-2</v>
      </c>
      <c r="AR81" s="639">
        <f t="shared" si="132"/>
        <v>5.35857E-3</v>
      </c>
      <c r="AS81" s="639">
        <f t="shared" si="133"/>
        <v>6.8224184175234681E-2</v>
      </c>
      <c r="AT81" s="647"/>
      <c r="AU81" s="647"/>
      <c r="AV81" s="624">
        <f t="shared" si="135"/>
        <v>40</v>
      </c>
      <c r="AW81" s="624" t="b">
        <f t="shared" si="136"/>
        <v>0</v>
      </c>
      <c r="AX81" s="624" t="b">
        <f t="shared" si="137"/>
        <v>0</v>
      </c>
      <c r="AY81" s="624" t="b">
        <f t="shared" si="138"/>
        <v>0</v>
      </c>
      <c r="AZ81" s="624" t="b">
        <f t="shared" si="139"/>
        <v>0</v>
      </c>
      <c r="BA81" s="624" t="b">
        <f t="shared" si="140"/>
        <v>0</v>
      </c>
      <c r="BB81" s="624" t="b">
        <f t="shared" si="141"/>
        <v>0</v>
      </c>
      <c r="BC81" s="624" t="b">
        <f t="shared" si="142"/>
        <v>0</v>
      </c>
      <c r="BD81" s="624" t="b">
        <f t="shared" si="143"/>
        <v>0</v>
      </c>
      <c r="BE81" s="624" t="b">
        <f t="shared" si="144"/>
        <v>0</v>
      </c>
      <c r="BF81" s="624">
        <f t="shared" si="145"/>
        <v>33.914999999999999</v>
      </c>
      <c r="BG81" s="624" t="b">
        <f t="shared" si="146"/>
        <v>0</v>
      </c>
      <c r="BH81" s="624" t="b">
        <f t="shared" si="147"/>
        <v>0</v>
      </c>
      <c r="BI81" s="624" t="b">
        <f t="shared" si="148"/>
        <v>0</v>
      </c>
      <c r="BJ81" s="624" t="b">
        <f t="shared" si="149"/>
        <v>0</v>
      </c>
      <c r="BK81" s="624" t="b">
        <f t="shared" si="150"/>
        <v>0</v>
      </c>
      <c r="BL81" s="624" t="b">
        <f t="shared" si="151"/>
        <v>0</v>
      </c>
      <c r="BM81" s="624" t="b">
        <f t="shared" si="152"/>
        <v>0</v>
      </c>
      <c r="BN81" s="624" t="b">
        <f t="shared" si="153"/>
        <v>0</v>
      </c>
      <c r="BO81" s="624" t="b">
        <f t="shared" si="154"/>
        <v>0</v>
      </c>
      <c r="BP81" s="624" t="b">
        <f t="shared" si="155"/>
        <v>0</v>
      </c>
      <c r="BQ81" s="624" t="b">
        <f t="shared" si="156"/>
        <v>0</v>
      </c>
    </row>
    <row r="82" spans="1:70">
      <c r="A82" s="1087"/>
      <c r="B82" s="872"/>
      <c r="C82" s="874"/>
      <c r="D82" s="645"/>
      <c r="E82" s="645"/>
      <c r="F82" s="644"/>
      <c r="G82" s="644"/>
      <c r="H82" s="644"/>
      <c r="I82" s="635"/>
      <c r="J82" s="644">
        <f>IF(F82&lt;=1966,'Założenia,wskaźniki, listy'!$H$4,IF(F82&gt;1966,IF(F82&lt;=1985,'Założenia,wskaźniki, listy'!$H$5,IF(F82&gt;1985,IF(F82&lt;=1992,'Założenia,wskaźniki, listy'!$H$6,IF(F82&gt;1992,IF(F82&lt;=1996,'Założenia,wskaźniki, listy'!$H$7,IF(F82&gt;1996,IF(F82&lt;=2015,'Założenia,wskaźniki, listy'!$H$8)))))))))</f>
        <v>290</v>
      </c>
      <c r="K82" s="872"/>
      <c r="L82" s="644"/>
      <c r="M82" s="644"/>
      <c r="N82" s="644"/>
      <c r="O82" s="637">
        <f t="shared" si="134"/>
        <v>0</v>
      </c>
      <c r="P82" s="646">
        <f>IF(K82="kompletna",J82*G82*0.0036*'Założenia,wskaźniki, listy'!$P$9,IF(K82="częściowa",J82*G82*0.0036*'Założenia,wskaźniki, listy'!$P$10,IF(K82="brak",J82*G82*0.0036*'Założenia,wskaźniki, listy'!$P$11,0)))</f>
        <v>0</v>
      </c>
      <c r="Q82" s="638">
        <f>H82*'Założenia,wskaźniki, listy'!$L$15</f>
        <v>0</v>
      </c>
      <c r="R82" s="635">
        <f>IF(L82="węgiel",'Mieszkalne - baza'!M82*'Założenia,wskaźniki, listy'!$B$4,IF(L82="gaz",'Mieszkalne - baza'!M82*'Założenia,wskaźniki, listy'!$B$5,IF(L82="drewno",'Mieszkalne - baza'!M82*'Założenia,wskaźniki, listy'!$B$6,IF(L82="pelet",'Mieszkalne - baza'!M82*'Założenia,wskaźniki, listy'!$B$7,IF(L82="olej opałowy",'Mieszkalne - baza'!M82*'Założenia,wskaźniki, listy'!$B$8,IF(L82="sieć ciepłownicza",0,0))))))</f>
        <v>0</v>
      </c>
      <c r="S82" s="1085"/>
      <c r="T82" s="639">
        <f>IF(L82="węgiel",R82*'Założenia,wskaźniki, listy'!$C$44,IF(L82="gaz",R82*'Założenia,wskaźniki, listy'!$D$44,IF(L82="drewno",R82*'Założenia,wskaźniki, listy'!$E$44,IF(L82="pelet",R82*'Założenia,wskaźniki, listy'!$F$44,IF(L82="olej opałowy",R82*'Założenia,wskaźniki, listy'!$G$44,IF(L82="sieć ciepłownicza",0,IF(L82="prąd",0,0)))))))</f>
        <v>0</v>
      </c>
      <c r="U82" s="639">
        <f>IF(L82="węgiel",R82*'Założenia,wskaźniki, listy'!$C$45,IF(L82="gaz",R82*'Założenia,wskaźniki, listy'!$D$45,IF(L82="drewno",R82*'Założenia,wskaźniki, listy'!$E$45,IF(L82="pelet",R82*'Założenia,wskaźniki, listy'!$F$45,IF(L82="olej opałowy",R82*'Założenia,wskaźniki, listy'!$G$45,IF(L82="sieć ciepłownicza",0,IF(L82="prąd",0,0)))))))</f>
        <v>0</v>
      </c>
      <c r="V82" s="639">
        <f>IF(L82="węgiel",R82*'Założenia,wskaźniki, listy'!$C$46,IF(L82="gaz",R82*'Założenia,wskaźniki, listy'!$D$46,IF(L82="drewno",R82*'Założenia,wskaźniki, listy'!$E$46,IF(L82="pelet",R82*'Założenia,wskaźniki, listy'!$F$46,IF(L82="olej opałowy",R82*'Założenia,wskaźniki, listy'!$G$46,IF(L82="sieć ciepłownicza",R82*'Założenia,wskaźniki, listy'!$H$46,IF(L82="prąd",R82*'Założenia,wskaźniki, listy'!$I$46,0)))))))</f>
        <v>0</v>
      </c>
      <c r="W82" s="639">
        <f>IF(L82="węgiel",R82*'Założenia,wskaźniki, listy'!$C$47,IF(L82="gaz",R82*'Założenia,wskaźniki, listy'!$D$47,IF(L82="drewno",R82*'Założenia,wskaźniki, listy'!$E$47,IF(L82="pelet",R82*'Założenia,wskaźniki, listy'!$F$47,IF(L82="olej opałowy",R82*'Założenia,wskaźniki, listy'!$G$47,IF(L82="sieć ciepłownicza",0,IF(L82="prąd",0,0)))))))</f>
        <v>0</v>
      </c>
      <c r="X82" s="639">
        <f>IF(L82="węgiel",R82*'Założenia,wskaźniki, listy'!$C$48, IF(L82="gaz",R82*'Założenia,wskaźniki, listy'!$D$48,IF(L82="drewno",R82*'Założenia,wskaźniki, listy'!$E$48,IF(L82="pelet",R82*'Założenia,wskaźniki, listy'!$F$48,IF(L82="olej opałowy",R82*'Założenia,wskaźniki, listy'!$G$48,IF(L82="sieć ciepłownicza",0,IF(L82="prąd",0,0)))))))</f>
        <v>0</v>
      </c>
      <c r="Y82" s="639">
        <f>IF(L82="węgiel",R82*'Założenia,wskaźniki, listy'!$C$49, IF(L82="gaz",R82*'Założenia,wskaźniki, listy'!$D$49, IF(L82="drewno",R82*'Założenia,wskaźniki, listy'!$E$49,IF(L82="pelet",R82*'Założenia,wskaźniki, listy'!$F$49,IF(L82="olej opałowy",R82*'Założenia,wskaźniki, listy'!$G$49,IF(L82="sieć ciepłownicza",0,IF(L82="prąd",0,0)))))))</f>
        <v>0</v>
      </c>
      <c r="Z82" s="639">
        <f>IF(L82="węgiel",R82*'Założenia,wskaźniki, listy'!$C$50,IF(L82="gaz",R82*'Założenia,wskaźniki, listy'!$D$50, IF(L82="drewno",R82*'Założenia,wskaźniki, listy'!$E$50,IF(L82="pelet",R82*'Założenia,wskaźniki, listy'!$F$50,IF(L82="pelet",R82*'Założenia,wskaźniki, listy'!$F$50,IF(L82="olej opałowy",R82*'Założenia,wskaźniki, listy'!$G$50,IF(L82="sieć ciepłownicza",0,IF(L82="prąd",0,0))))))))</f>
        <v>0</v>
      </c>
      <c r="AA82" s="639">
        <f>IF(N82="węgiel",Q82*'Założenia,wskaźniki, listy'!$C$44,IF(N82="gaz",Q82*'Założenia,wskaźniki, listy'!$D$44,IF(N82="drewno",Q82*'Założenia,wskaźniki, listy'!$E$44,IF(N82="pelet",Q82*'Założenia,wskaźniki, listy'!$G$44,IF(N82="olej opałowy",Q82*'Założenia,wskaźniki, listy'!$G$44,IF(N82="sieć ciepłownicza",0,IF(N82="prąd",0,0)))))))</f>
        <v>0</v>
      </c>
      <c r="AB82" s="639">
        <f>IF(N82="węgiel",Q82*'Założenia,wskaźniki, listy'!$C$45,IF(N82="gaz",Q82*'Założenia,wskaźniki, listy'!$D$45,IF(N82="drewno",Q82*'Założenia,wskaźniki, listy'!$E$45,IF(N82="pelet",Q82*'Założenia,wskaźniki, listy'!$G$45,IF(N82="olej opałowy",Q82*'Założenia,wskaźniki, listy'!$G$45,IF(N82="sieć ciepłownicza",0,IF(N82="prąd",0,0)))))))</f>
        <v>0</v>
      </c>
      <c r="AC82" s="639">
        <f>IF(N82="węgiel",Q82*'Założenia,wskaźniki, listy'!$C$46,IF(N82="gaz",Q82*'Założenia,wskaźniki, listy'!$D$46,IF(N82="drewno",Q82*'Założenia,wskaźniki, listy'!$E$46,IF(N82="pelet",Q82*'Założenia,wskaźniki, listy'!$G$46,IF(N82="olej opałowy",Q82*'Założenia,wskaźniki, listy'!$G$46,IF(N82="sieć ciepłownicza",0,IF(N82="prąd",0,0)))))))</f>
        <v>0</v>
      </c>
      <c r="AD82" s="639">
        <f>IF(N82="węgiel",Q82*'Założenia,wskaźniki, listy'!$C$47,IF(N82="gaz",Q82*'Założenia,wskaźniki, listy'!$D$47,IF(N82="drewno",Q82*'Założenia,wskaźniki, listy'!$E$47,IF(N82="pelet",Q82*'Założenia,wskaźniki, listy'!$G$47,IF(N82="olej opałowy",Q82*'Założenia,wskaźniki, listy'!$G$47,IF(N82="sieć ciepłownicza",0,IF(N82="prąd",0,0)))))))</f>
        <v>0</v>
      </c>
      <c r="AE82" s="639">
        <f>IF(N82="węgiel",Q82*'Założenia,wskaźniki, listy'!$C$48,IF(N82="gaz",Q82*'Założenia,wskaźniki, listy'!$D$48,IF(N82="drewno",Q82*'Założenia,wskaźniki, listy'!$E$48,IF(N82="pelet",Q82*'Założenia,wskaźniki, listy'!$G$48,IF(N82="olej opałowy",Q82*'Założenia,wskaźniki, listy'!$G$48,IF(N82="sieć ciepłownicza",0,IF(N82="prąd",0,0)))))))</f>
        <v>0</v>
      </c>
      <c r="AF82" s="639">
        <f>IF(N82="węgiel",Q82*'Założenia,wskaźniki, listy'!$C$49,IF(N82="gaz",Q82*'Założenia,wskaźniki, listy'!$D$49,IF(N82="drewno",Q82*'Założenia,wskaźniki, listy'!$E$49,IF(N82="pelet",Q82*'Założenia,wskaźniki, listy'!$G$49,IF(N82="olej opałowy",Q82*'Założenia,wskaźniki, listy'!$G$49,IF(N82="sieć ciepłownicza",0,IF(N82="prąd",0,0)))))))</f>
        <v>0</v>
      </c>
      <c r="AG82" s="639">
        <f>IF(N82="węgiel",Q82*'Założenia,wskaźniki, listy'!$C$50,IF(N82="gaz",Q82*'Założenia,wskaźniki, listy'!$D$50,IF(N82="drewno",Q82*'Założenia,wskaźniki, listy'!$E$50,IF(N82="pelet",Q82*'Założenia,wskaźniki, listy'!$G$50,IF(N82="olej opałowy",Q82*'Założenia,wskaźniki, listy'!$G$50,IF(N82="sieć ciepłownicza",0,IF(N82="prąd",0,0)))))))</f>
        <v>0</v>
      </c>
      <c r="AH82" s="640">
        <f>IF(L82="węgiel",(P82+R82)/2*'Założenia,wskaźniki, listy'!$C$4,IF(L82="gaz",(P82+R82)/2*'Założenia,wskaźniki, listy'!$C$5,IF(L82="drewno",(P82+R82)/2*'Założenia,wskaźniki, listy'!$C$6,IF(L82="pelet",(P82+R82)/2*'Założenia,wskaźniki, listy'!$C$7,IF(L82="olej opałowy",(P82+R82)/2*'Założenia,wskaźniki, listy'!$C$8,IF(L82="sieć ciepłownicza",(P82+R82)/2*'Założenia,wskaźniki, listy'!$C$9,IF(L82="sieć ciepłownicza",(P82+R82)/2*'Założenia,wskaźniki, listy'!$C$10,)))))))</f>
        <v>0</v>
      </c>
      <c r="AI82" s="640">
        <f>IF(N82="węgiel",Q82*'Założenia,wskaźniki, listy'!$C$4,IF(N82="gaz",Q82*'Założenia,wskaźniki, listy'!$C$5,IF(N82="drewno",Q82*'Założenia,wskaźniki, listy'!$C$6,IF(N82="pelet",Q82*'Założenia,wskaźniki, listy'!$C$7,IF(N82="olej opałowy",Q82*'Założenia,wskaźniki, listy'!$C$8,IF(N82="sieć ciepłownicza",Q82*'Założenia,wskaźniki, listy'!$C$9,IF(N82="sieć ciepłownicza",Q82*'Założenia,wskaźniki, listy'!$C$10,0)))))))</f>
        <v>0</v>
      </c>
      <c r="AJ82" s="640">
        <f>S82*'Założenia,wskaźniki, listy'!$B$64*1000</f>
        <v>0</v>
      </c>
      <c r="AK82" s="640">
        <f>(H82+I82)*'Założenia,wskaźniki, listy'!$D$64*12</f>
        <v>0</v>
      </c>
      <c r="AL82" s="640">
        <f>AK82*'Założenia,wskaźniki, listy'!$F$64</f>
        <v>0</v>
      </c>
      <c r="AM82" s="639">
        <f t="shared" si="128"/>
        <v>0</v>
      </c>
      <c r="AN82" s="639">
        <f t="shared" si="129"/>
        <v>0</v>
      </c>
      <c r="AO82" s="639">
        <f>V82+AC82+S82*'Założenia,wskaźniki, listy'!$J$46</f>
        <v>0</v>
      </c>
      <c r="AP82" s="639">
        <f t="shared" si="130"/>
        <v>0</v>
      </c>
      <c r="AQ82" s="639">
        <f t="shared" si="131"/>
        <v>0</v>
      </c>
      <c r="AR82" s="639">
        <f t="shared" si="132"/>
        <v>0</v>
      </c>
      <c r="AS82" s="639">
        <f t="shared" si="133"/>
        <v>0</v>
      </c>
      <c r="AT82" s="647"/>
      <c r="AU82" s="647"/>
      <c r="AV82" s="624">
        <f t="shared" si="135"/>
        <v>0</v>
      </c>
      <c r="AW82" s="624" t="b">
        <f t="shared" si="136"/>
        <v>0</v>
      </c>
      <c r="AX82" s="624" t="b">
        <f t="shared" si="137"/>
        <v>0</v>
      </c>
      <c r="AY82" s="624" t="b">
        <f t="shared" si="138"/>
        <v>0</v>
      </c>
      <c r="AZ82" s="624" t="b">
        <f t="shared" si="139"/>
        <v>0</v>
      </c>
      <c r="BA82" s="624" t="b">
        <f t="shared" si="140"/>
        <v>0</v>
      </c>
      <c r="BB82" s="624" t="b">
        <f t="shared" si="141"/>
        <v>0</v>
      </c>
      <c r="BC82" s="624" t="b">
        <f t="shared" si="142"/>
        <v>0</v>
      </c>
      <c r="BD82" s="624" t="b">
        <f t="shared" si="143"/>
        <v>0</v>
      </c>
      <c r="BE82" s="624" t="b">
        <f t="shared" si="144"/>
        <v>0</v>
      </c>
      <c r="BF82" s="624" t="b">
        <f t="shared" si="145"/>
        <v>0</v>
      </c>
      <c r="BG82" s="624" t="b">
        <f t="shared" si="146"/>
        <v>0</v>
      </c>
      <c r="BH82" s="624" t="b">
        <f t="shared" si="147"/>
        <v>0</v>
      </c>
      <c r="BI82" s="624" t="b">
        <f t="shared" si="148"/>
        <v>0</v>
      </c>
      <c r="BJ82" s="624" t="b">
        <f t="shared" si="149"/>
        <v>0</v>
      </c>
      <c r="BK82" s="624" t="b">
        <f t="shared" si="150"/>
        <v>0</v>
      </c>
      <c r="BL82" s="624" t="b">
        <f t="shared" si="151"/>
        <v>0</v>
      </c>
      <c r="BM82" s="624" t="b">
        <f t="shared" si="152"/>
        <v>0</v>
      </c>
      <c r="BN82" s="624" t="b">
        <f t="shared" si="153"/>
        <v>0</v>
      </c>
      <c r="BO82" s="624" t="b">
        <f t="shared" si="154"/>
        <v>0</v>
      </c>
      <c r="BP82" s="624" t="b">
        <f t="shared" si="155"/>
        <v>0</v>
      </c>
      <c r="BQ82" s="624" t="b">
        <f t="shared" si="156"/>
        <v>0</v>
      </c>
    </row>
    <row r="83" spans="1:70" s="643" customFormat="1">
      <c r="A83" s="1086">
        <v>40</v>
      </c>
      <c r="B83" s="872" t="s">
        <v>21</v>
      </c>
      <c r="C83" s="873" t="s">
        <v>621</v>
      </c>
      <c r="D83" s="645" t="s">
        <v>628</v>
      </c>
      <c r="E83" s="645">
        <v>33</v>
      </c>
      <c r="F83" s="644">
        <v>1979</v>
      </c>
      <c r="G83" s="644">
        <v>120</v>
      </c>
      <c r="H83" s="644"/>
      <c r="I83" s="635"/>
      <c r="J83" s="644">
        <f>IF(F83&lt;=1966,'Założenia,wskaźniki, listy'!$H$4,IF(F83&gt;1966,IF(F83&lt;=1985,'Założenia,wskaźniki, listy'!$H$5,IF(F83&gt;1985,IF(F83&lt;=1992,'Założenia,wskaźniki, listy'!$H$6,IF(F83&gt;1992,IF(F83&lt;=1996,'Założenia,wskaźniki, listy'!$H$7,IF(F83&gt;1996,IF(F83&lt;=2015,'Założenia,wskaźniki, listy'!$H$8)))))))))</f>
        <v>250</v>
      </c>
      <c r="K83" s="864" t="s">
        <v>32</v>
      </c>
      <c r="L83" s="644" t="s">
        <v>8</v>
      </c>
      <c r="M83" s="644">
        <v>2.5</v>
      </c>
      <c r="N83" s="644"/>
      <c r="O83" s="637">
        <f t="shared" si="134"/>
        <v>60.662499999999994</v>
      </c>
      <c r="P83" s="646">
        <f>IF(K83="kompletna",J83*G83*0.0036*'Założenia,wskaźniki, listy'!$P$9,IF(K83="częściowa",J83*G83*0.0036*'Założenia,wskaźniki, listy'!$P$10,IF(K83="brak",J83*G83*0.0036*'Założenia,wskaźniki, listy'!$P$11,0)))</f>
        <v>64.8</v>
      </c>
      <c r="Q83" s="638">
        <f>H83*'Założenia,wskaźniki, listy'!$L$15</f>
        <v>0</v>
      </c>
      <c r="R83" s="635">
        <f>IF(L83="węgiel",'Mieszkalne - baza'!M83*'Założenia,wskaźniki, listy'!$B$4,IF(L83="gaz",'Mieszkalne - baza'!M83*'Założenia,wskaźniki, listy'!$B$5,IF(L83="drewno",'Mieszkalne - baza'!M83*'Założenia,wskaźniki, listy'!$B$6,IF(L83="pelet",'Mieszkalne - baza'!M83*'Założenia,wskaźniki, listy'!$B$7,IF(L83="olej opałowy",'Mieszkalne - baza'!M83*'Założenia,wskaźniki, listy'!$B$8,IF(L83="sieć ciepłownicza",0,0))))))</f>
        <v>56.524999999999999</v>
      </c>
      <c r="S83" s="1084">
        <v>2.0304000000000002</v>
      </c>
      <c r="T83" s="639">
        <f>IF(L83="węgiel",R83*'Założenia,wskaźniki, listy'!$C$44,IF(L83="gaz",R83*'Założenia,wskaźniki, listy'!$D$44,IF(L83="drewno",R83*'Założenia,wskaźniki, listy'!$E$44,IF(L83="pelet",R83*'Założenia,wskaźniki, listy'!$F$44,IF(L83="olej opałowy",R83*'Założenia,wskaźniki, listy'!$G$44,IF(L83="sieć ciepłownicza",0,IF(L83="prąd",0,0)))))))</f>
        <v>1.2718124999999999E-2</v>
      </c>
      <c r="U83" s="639">
        <f>IF(L83="węgiel",R83*'Założenia,wskaźniki, listy'!$C$45,IF(L83="gaz",R83*'Założenia,wskaźniki, listy'!$D$45,IF(L83="drewno",R83*'Założenia,wskaźniki, listy'!$E$45,IF(L83="pelet",R83*'Założenia,wskaźniki, listy'!$F$45,IF(L83="olej opałowy",R83*'Założenia,wskaźniki, listy'!$G$45,IF(L83="sieć ciepłownicza",0,IF(L83="prąd",0,0)))))))</f>
        <v>1.1361525000000001E-2</v>
      </c>
      <c r="V83" s="639">
        <f>IF(L83="węgiel",R83*'Założenia,wskaźniki, listy'!$C$46,IF(L83="gaz",R83*'Założenia,wskaźniki, listy'!$D$46,IF(L83="drewno",R83*'Założenia,wskaźniki, listy'!$E$46,IF(L83="pelet",R83*'Założenia,wskaźniki, listy'!$F$46,IF(L83="olej opałowy",R83*'Założenia,wskaźniki, listy'!$G$46,IF(L83="sieć ciepłownicza",R83*'Założenia,wskaźniki, listy'!$H$46,IF(L83="prąd",R83*'Założenia,wskaźniki, listy'!$I$46,0)))))))</f>
        <v>5.2986534999999995</v>
      </c>
      <c r="W83" s="639">
        <f>IF(L83="węgiel",R83*'Założenia,wskaźniki, listy'!$C$47,IF(L83="gaz",R83*'Założenia,wskaźniki, listy'!$D$47,IF(L83="drewno",R83*'Założenia,wskaźniki, listy'!$E$47,IF(L83="pelet",R83*'Założenia,wskaźniki, listy'!$F$47,IF(L83="olej opałowy",R83*'Założenia,wskaźniki, listy'!$G$47,IF(L83="sieć ciepłownicza",0,IF(L83="prąd",0,0)))))))</f>
        <v>1.526175E-5</v>
      </c>
      <c r="X83" s="639">
        <f>IF(L83="węgiel",R83*'Założenia,wskaźniki, listy'!$C$48, IF(L83="gaz",R83*'Założenia,wskaźniki, listy'!$D$48,IF(L83="drewno",R83*'Założenia,wskaźniki, listy'!$E$48,IF(L83="pelet",R83*'Założenia,wskaźniki, listy'!$F$48,IF(L83="olej opałowy",R83*'Założenia,wskaźniki, listy'!$G$48,IF(L83="sieć ciepłownicza",0,IF(L83="prąd",0,0)))))))</f>
        <v>5.0872499999999994E-2</v>
      </c>
      <c r="Y83" s="639">
        <f>IF(L83="węgiel",R83*'Założenia,wskaźniki, listy'!$C$49, IF(L83="gaz",R83*'Założenia,wskaźniki, listy'!$D$49, IF(L83="drewno",R83*'Założenia,wskaźniki, listy'!$E$49,IF(L83="pelet",R83*'Założenia,wskaźniki, listy'!$F$49,IF(L83="olej opałowy",R83*'Założenia,wskaźniki, listy'!$G$49,IF(L83="sieć ciepłownicza",0,IF(L83="prąd",0,0)))))))</f>
        <v>8.93095E-3</v>
      </c>
      <c r="Z83" s="639">
        <f>IF(L83="węgiel",R83*'Założenia,wskaźniki, listy'!$C$50,IF(L83="gaz",R83*'Założenia,wskaźniki, listy'!$D$50, IF(L83="drewno",R83*'Założenia,wskaźniki, listy'!$E$50,IF(L83="pelet",R83*'Założenia,wskaźniki, listy'!$F$50,IF(L83="pelet",R83*'Założenia,wskaźniki, listy'!$F$50,IF(L83="olej opałowy",R83*'Założenia,wskaźniki, listy'!$G$50,IF(L83="sieć ciepłownicza",0,IF(L83="prąd",0,0))))))))</f>
        <v>0.11370697362539113</v>
      </c>
      <c r="AA83" s="639">
        <f>IF(N83="węgiel",Q83*'Założenia,wskaźniki, listy'!$C$44,IF(N83="gaz",Q83*'Założenia,wskaźniki, listy'!$D$44,IF(N83="drewno",Q83*'Założenia,wskaźniki, listy'!$E$44,IF(N83="pelet",Q83*'Założenia,wskaźniki, listy'!$G$44,IF(N83="olej opałowy",Q83*'Założenia,wskaźniki, listy'!$G$44,IF(N83="sieć ciepłownicza",0,IF(N83="prąd",0,0)))))))</f>
        <v>0</v>
      </c>
      <c r="AB83" s="639">
        <f>IF(N83="węgiel",Q83*'Założenia,wskaźniki, listy'!$C$45,IF(N83="gaz",Q83*'Założenia,wskaźniki, listy'!$D$45,IF(N83="drewno",Q83*'Założenia,wskaźniki, listy'!$E$45,IF(N83="pelet",Q83*'Założenia,wskaźniki, listy'!$G$45,IF(N83="olej opałowy",Q83*'Założenia,wskaźniki, listy'!$G$45,IF(N83="sieć ciepłownicza",0,IF(N83="prąd",0,0)))))))</f>
        <v>0</v>
      </c>
      <c r="AC83" s="639">
        <f>IF(N83="węgiel",Q83*'Założenia,wskaźniki, listy'!$C$46,IF(N83="gaz",Q83*'Założenia,wskaźniki, listy'!$D$46,IF(N83="drewno",Q83*'Założenia,wskaźniki, listy'!$E$46,IF(N83="pelet",Q83*'Założenia,wskaźniki, listy'!$G$46,IF(N83="olej opałowy",Q83*'Założenia,wskaźniki, listy'!$G$46,IF(N83="sieć ciepłownicza",0,IF(N83="prąd",0,0)))))))</f>
        <v>0</v>
      </c>
      <c r="AD83" s="639">
        <f>IF(N83="węgiel",Q83*'Założenia,wskaźniki, listy'!$C$47,IF(N83="gaz",Q83*'Założenia,wskaźniki, listy'!$D$47,IF(N83="drewno",Q83*'Założenia,wskaźniki, listy'!$E$47,IF(N83="pelet",Q83*'Założenia,wskaźniki, listy'!$G$47,IF(N83="olej opałowy",Q83*'Założenia,wskaźniki, listy'!$G$47,IF(N83="sieć ciepłownicza",0,IF(N83="prąd",0,0)))))))</f>
        <v>0</v>
      </c>
      <c r="AE83" s="639">
        <f>IF(N83="węgiel",Q83*'Założenia,wskaźniki, listy'!$C$48,IF(N83="gaz",Q83*'Założenia,wskaźniki, listy'!$D$48,IF(N83="drewno",Q83*'Założenia,wskaźniki, listy'!$E$48,IF(N83="pelet",Q83*'Założenia,wskaźniki, listy'!$G$48,IF(N83="olej opałowy",Q83*'Założenia,wskaźniki, listy'!$G$48,IF(N83="sieć ciepłownicza",0,IF(N83="prąd",0,0)))))))</f>
        <v>0</v>
      </c>
      <c r="AF83" s="639">
        <f>IF(N83="węgiel",Q83*'Założenia,wskaźniki, listy'!$C$49,IF(N83="gaz",Q83*'Założenia,wskaźniki, listy'!$D$49,IF(N83="drewno",Q83*'Założenia,wskaźniki, listy'!$E$49,IF(N83="pelet",Q83*'Założenia,wskaźniki, listy'!$G$49,IF(N83="olej opałowy",Q83*'Założenia,wskaźniki, listy'!$G$49,IF(N83="sieć ciepłownicza",0,IF(N83="prąd",0,0)))))))</f>
        <v>0</v>
      </c>
      <c r="AG83" s="639">
        <f>IF(N83="węgiel",Q83*'Założenia,wskaźniki, listy'!$C$50,IF(N83="gaz",Q83*'Założenia,wskaźniki, listy'!$D$50,IF(N83="drewno",Q83*'Założenia,wskaźniki, listy'!$E$50,IF(N83="pelet",Q83*'Założenia,wskaźniki, listy'!$G$50,IF(N83="olej opałowy",Q83*'Założenia,wskaźniki, listy'!$G$50,IF(N83="sieć ciepłownicza",0,IF(N83="prąd",0,0)))))))</f>
        <v>0</v>
      </c>
      <c r="AH83" s="640">
        <f>IF(L83="węgiel",(P83+R83)/2*'Założenia,wskaźniki, listy'!$C$4,IF(L83="gaz",(P83+R83)/2*'Założenia,wskaźniki, listy'!$C$5,IF(L83="drewno",(P83+R83)/2*'Założenia,wskaźniki, listy'!$C$6,IF(L83="pelet",(P83+R83)/2*'Założenia,wskaźniki, listy'!$C$7,IF(L83="olej opałowy",(P83+R83)/2*'Założenia,wskaźniki, listy'!$C$8,IF(L83="sieć ciepłownicza",(P83+R83)/2*'Założenia,wskaźniki, listy'!$C$9,IF(L83="sieć ciepłownicza",(P83+R83)/2*'Założenia,wskaźniki, listy'!$C$10,)))))))</f>
        <v>2487.1624999999999</v>
      </c>
      <c r="AI83" s="640">
        <f>IF(N83="węgiel",Q83*'Założenia,wskaźniki, listy'!$C$4,IF(N83="gaz",Q83*'Założenia,wskaźniki, listy'!$C$5,IF(N83="drewno",Q83*'Założenia,wskaźniki, listy'!$C$6,IF(N83="pelet",Q83*'Założenia,wskaźniki, listy'!$C$7,IF(N83="olej opałowy",Q83*'Założenia,wskaźniki, listy'!$C$8,IF(N83="sieć ciepłownicza",Q83*'Założenia,wskaźniki, listy'!$C$9,IF(N83="sieć ciepłownicza",Q83*'Założenia,wskaźniki, listy'!$C$10,0)))))))</f>
        <v>0</v>
      </c>
      <c r="AJ83" s="640">
        <f>S83*'Założenia,wskaźniki, listy'!$B$64*1000</f>
        <v>1441.5840000000001</v>
      </c>
      <c r="AK83" s="640">
        <f>(H83+I83)*'Założenia,wskaźniki, listy'!$D$64*12</f>
        <v>0</v>
      </c>
      <c r="AL83" s="640">
        <f>AK83*'Założenia,wskaźniki, listy'!$F$64</f>
        <v>0</v>
      </c>
      <c r="AM83" s="639">
        <f t="shared" si="128"/>
        <v>1.2718124999999999E-2</v>
      </c>
      <c r="AN83" s="639">
        <f t="shared" si="129"/>
        <v>1.1361525000000001E-2</v>
      </c>
      <c r="AO83" s="639">
        <f>V83+AC83+S83*'Założenia,wskaźniki, listy'!$J$46</f>
        <v>6.9869310999999996</v>
      </c>
      <c r="AP83" s="639">
        <f t="shared" si="130"/>
        <v>1.526175E-5</v>
      </c>
      <c r="AQ83" s="639">
        <f t="shared" si="131"/>
        <v>5.0872499999999994E-2</v>
      </c>
      <c r="AR83" s="639">
        <f t="shared" si="132"/>
        <v>8.93095E-3</v>
      </c>
      <c r="AS83" s="639">
        <f t="shared" si="133"/>
        <v>0.11370697362539113</v>
      </c>
      <c r="AT83" s="647"/>
      <c r="AU83" s="647"/>
      <c r="AV83" s="624" t="b">
        <f t="shared" si="135"/>
        <v>0</v>
      </c>
      <c r="AW83" s="624" t="b">
        <f t="shared" si="136"/>
        <v>0</v>
      </c>
      <c r="AX83" s="624">
        <f t="shared" si="137"/>
        <v>120</v>
      </c>
      <c r="AY83" s="624">
        <f t="shared" si="138"/>
        <v>120</v>
      </c>
      <c r="AZ83" s="624" t="b">
        <f t="shared" si="139"/>
        <v>0</v>
      </c>
      <c r="BA83" s="624" t="b">
        <f t="shared" si="140"/>
        <v>0</v>
      </c>
      <c r="BB83" s="624" t="b">
        <f t="shared" si="141"/>
        <v>0</v>
      </c>
      <c r="BC83" s="624" t="b">
        <f t="shared" si="142"/>
        <v>0</v>
      </c>
      <c r="BD83" s="624" t="b">
        <f t="shared" si="143"/>
        <v>0</v>
      </c>
      <c r="BE83" s="624" t="b">
        <f t="shared" si="144"/>
        <v>0</v>
      </c>
      <c r="BF83" s="624">
        <f t="shared" si="145"/>
        <v>56.524999999999999</v>
      </c>
      <c r="BG83" s="624" t="b">
        <f t="shared" si="146"/>
        <v>0</v>
      </c>
      <c r="BH83" s="624" t="b">
        <f t="shared" si="147"/>
        <v>0</v>
      </c>
      <c r="BI83" s="624" t="b">
        <f t="shared" si="148"/>
        <v>0</v>
      </c>
      <c r="BJ83" s="624" t="b">
        <f t="shared" si="149"/>
        <v>0</v>
      </c>
      <c r="BK83" s="624" t="b">
        <f t="shared" si="150"/>
        <v>0</v>
      </c>
      <c r="BL83" s="624" t="b">
        <f t="shared" si="151"/>
        <v>0</v>
      </c>
      <c r="BM83" s="624" t="b">
        <f t="shared" si="152"/>
        <v>0</v>
      </c>
      <c r="BN83" s="624" t="b">
        <f t="shared" si="153"/>
        <v>0</v>
      </c>
      <c r="BO83" s="624" t="b">
        <f t="shared" si="154"/>
        <v>0</v>
      </c>
      <c r="BP83" s="624" t="b">
        <f t="shared" si="155"/>
        <v>0</v>
      </c>
      <c r="BQ83" s="624" t="b">
        <f t="shared" si="156"/>
        <v>0</v>
      </c>
      <c r="BR83" s="624"/>
    </row>
    <row r="84" spans="1:70">
      <c r="A84" s="1088"/>
      <c r="B84" s="872"/>
      <c r="C84" s="872"/>
      <c r="D84" s="645"/>
      <c r="E84" s="645"/>
      <c r="F84" s="644"/>
      <c r="G84" s="644"/>
      <c r="H84" s="644"/>
      <c r="I84" s="635"/>
      <c r="J84" s="644">
        <f>IF(F84&lt;=1966,'Założenia,wskaźniki, listy'!$H$4,IF(F84&gt;1966,IF(F84&lt;=1985,'Założenia,wskaźniki, listy'!$H$5,IF(F84&gt;1985,IF(F84&lt;=1992,'Założenia,wskaźniki, listy'!$H$6,IF(F84&gt;1992,IF(F84&lt;=1996,'Założenia,wskaźniki, listy'!$H$7,IF(F84&gt;1996,IF(F84&lt;=2015,'Założenia,wskaźniki, listy'!$H$8)))))))))</f>
        <v>290</v>
      </c>
      <c r="K84" s="872"/>
      <c r="L84" s="644"/>
      <c r="M84" s="644"/>
      <c r="N84" s="644"/>
      <c r="O84" s="637">
        <f t="shared" si="134"/>
        <v>0</v>
      </c>
      <c r="P84" s="646">
        <f>IF(K84="kompletna",J84*G84*0.0036*'Założenia,wskaźniki, listy'!$P$9,IF(K84="częściowa",J84*G84*0.0036*'Założenia,wskaźniki, listy'!$P$10,IF(K84="brak",J84*G84*0.0036*'Założenia,wskaźniki, listy'!$P$11,0)))</f>
        <v>0</v>
      </c>
      <c r="Q84" s="638">
        <f>H84*'Założenia,wskaźniki, listy'!$L$15</f>
        <v>0</v>
      </c>
      <c r="R84" s="635">
        <f>IF(L84="węgiel",'Mieszkalne - baza'!M84*'Założenia,wskaźniki, listy'!$B$4,IF(L84="gaz",'Mieszkalne - baza'!M84*'Założenia,wskaźniki, listy'!$B$5,IF(L84="drewno",'Mieszkalne - baza'!M84*'Założenia,wskaźniki, listy'!$B$6,IF(L84="pelet",'Mieszkalne - baza'!M84*'Założenia,wskaźniki, listy'!$B$7,IF(L84="olej opałowy",'Mieszkalne - baza'!M84*'Założenia,wskaźniki, listy'!$B$8,IF(L84="sieć ciepłownicza",0,0))))))</f>
        <v>0</v>
      </c>
      <c r="S84" s="1085"/>
      <c r="T84" s="639">
        <f>IF(L84="węgiel",R84*'Założenia,wskaźniki, listy'!$C$44,IF(L84="gaz",R84*'Założenia,wskaźniki, listy'!$D$44,IF(L84="drewno",R84*'Założenia,wskaźniki, listy'!$E$44,IF(L84="pelet",R84*'Założenia,wskaźniki, listy'!$F$44,IF(L84="olej opałowy",R84*'Założenia,wskaźniki, listy'!$G$44,IF(L84="sieć ciepłownicza",0,IF(L84="prąd",0,0)))))))</f>
        <v>0</v>
      </c>
      <c r="U84" s="639">
        <f>IF(L84="węgiel",R84*'Założenia,wskaźniki, listy'!$C$45,IF(L84="gaz",R84*'Założenia,wskaźniki, listy'!$D$45,IF(L84="drewno",R84*'Założenia,wskaźniki, listy'!$E$45,IF(L84="pelet",R84*'Założenia,wskaźniki, listy'!$F$45,IF(L84="olej opałowy",R84*'Założenia,wskaźniki, listy'!$G$45,IF(L84="sieć ciepłownicza",0,IF(L84="prąd",0,0)))))))</f>
        <v>0</v>
      </c>
      <c r="V84" s="639">
        <f>IF(L84="węgiel",R84*'Założenia,wskaźniki, listy'!$C$46,IF(L84="gaz",R84*'Założenia,wskaźniki, listy'!$D$46,IF(L84="drewno",R84*'Założenia,wskaźniki, listy'!$E$46,IF(L84="pelet",R84*'Założenia,wskaźniki, listy'!$F$46,IF(L84="olej opałowy",R84*'Założenia,wskaźniki, listy'!$G$46,IF(L84="sieć ciepłownicza",R84*'Założenia,wskaźniki, listy'!$H$46,IF(L84="prąd",R84*'Założenia,wskaźniki, listy'!$I$46,0)))))))</f>
        <v>0</v>
      </c>
      <c r="W84" s="639">
        <f>IF(L84="węgiel",R84*'Założenia,wskaźniki, listy'!$C$47,IF(L84="gaz",R84*'Założenia,wskaźniki, listy'!$D$47,IF(L84="drewno",R84*'Założenia,wskaźniki, listy'!$E$47,IF(L84="pelet",R84*'Założenia,wskaźniki, listy'!$F$47,IF(L84="olej opałowy",R84*'Założenia,wskaźniki, listy'!$G$47,IF(L84="sieć ciepłownicza",0,IF(L84="prąd",0,0)))))))</f>
        <v>0</v>
      </c>
      <c r="X84" s="639">
        <f>IF(L84="węgiel",R84*'Założenia,wskaźniki, listy'!$C$48, IF(L84="gaz",R84*'Założenia,wskaźniki, listy'!$D$48,IF(L84="drewno",R84*'Założenia,wskaźniki, listy'!$E$48,IF(L84="pelet",R84*'Założenia,wskaźniki, listy'!$F$48,IF(L84="olej opałowy",R84*'Założenia,wskaźniki, listy'!$G$48,IF(L84="sieć ciepłownicza",0,IF(L84="prąd",0,0)))))))</f>
        <v>0</v>
      </c>
      <c r="Y84" s="639">
        <f>IF(L84="węgiel",R84*'Założenia,wskaźniki, listy'!$C$49, IF(L84="gaz",R84*'Założenia,wskaźniki, listy'!$D$49, IF(L84="drewno",R84*'Założenia,wskaźniki, listy'!$E$49,IF(L84="pelet",R84*'Założenia,wskaźniki, listy'!$F$49,IF(L84="olej opałowy",R84*'Założenia,wskaźniki, listy'!$G$49,IF(L84="sieć ciepłownicza",0,IF(L84="prąd",0,0)))))))</f>
        <v>0</v>
      </c>
      <c r="Z84" s="639">
        <f>IF(L84="węgiel",R84*'Założenia,wskaźniki, listy'!$C$50,IF(L84="gaz",R84*'Założenia,wskaźniki, listy'!$D$50, IF(L84="drewno",R84*'Założenia,wskaźniki, listy'!$E$50,IF(L84="pelet",R84*'Założenia,wskaźniki, listy'!$F$50,IF(L84="pelet",R84*'Założenia,wskaźniki, listy'!$F$50,IF(L84="olej opałowy",R84*'Założenia,wskaźniki, listy'!$G$50,IF(L84="sieć ciepłownicza",0,IF(L84="prąd",0,0))))))))</f>
        <v>0</v>
      </c>
      <c r="AA84" s="639">
        <f>IF(N84="węgiel",Q84*'Założenia,wskaźniki, listy'!$C$44,IF(N84="gaz",Q84*'Założenia,wskaźniki, listy'!$D$44,IF(N84="drewno",Q84*'Założenia,wskaźniki, listy'!$E$44,IF(N84="pelet",Q84*'Założenia,wskaźniki, listy'!$G$44,IF(N84="olej opałowy",Q84*'Założenia,wskaźniki, listy'!$G$44,IF(N84="sieć ciepłownicza",0,IF(N84="prąd",0,0)))))))</f>
        <v>0</v>
      </c>
      <c r="AB84" s="639">
        <f>IF(N84="węgiel",Q84*'Założenia,wskaźniki, listy'!$C$45,IF(N84="gaz",Q84*'Założenia,wskaźniki, listy'!$D$45,IF(N84="drewno",Q84*'Założenia,wskaźniki, listy'!$E$45,IF(N84="pelet",Q84*'Założenia,wskaźniki, listy'!$G$45,IF(N84="olej opałowy",Q84*'Założenia,wskaźniki, listy'!$G$45,IF(N84="sieć ciepłownicza",0,IF(N84="prąd",0,0)))))))</f>
        <v>0</v>
      </c>
      <c r="AC84" s="639">
        <f>IF(N84="węgiel",Q84*'Założenia,wskaźniki, listy'!$C$46,IF(N84="gaz",Q84*'Założenia,wskaźniki, listy'!$D$46,IF(N84="drewno",Q84*'Założenia,wskaźniki, listy'!$E$46,IF(N84="pelet",Q84*'Założenia,wskaźniki, listy'!$G$46,IF(N84="olej opałowy",Q84*'Założenia,wskaźniki, listy'!$G$46,IF(N84="sieć ciepłownicza",0,IF(N84="prąd",0,0)))))))</f>
        <v>0</v>
      </c>
      <c r="AD84" s="639">
        <f>IF(N84="węgiel",Q84*'Założenia,wskaźniki, listy'!$C$47,IF(N84="gaz",Q84*'Założenia,wskaźniki, listy'!$D$47,IF(N84="drewno",Q84*'Założenia,wskaźniki, listy'!$E$47,IF(N84="pelet",Q84*'Założenia,wskaźniki, listy'!$G$47,IF(N84="olej opałowy",Q84*'Założenia,wskaźniki, listy'!$G$47,IF(N84="sieć ciepłownicza",0,IF(N84="prąd",0,0)))))))</f>
        <v>0</v>
      </c>
      <c r="AE84" s="639">
        <f>IF(N84="węgiel",Q84*'Założenia,wskaźniki, listy'!$C$48,IF(N84="gaz",Q84*'Założenia,wskaźniki, listy'!$D$48,IF(N84="drewno",Q84*'Założenia,wskaźniki, listy'!$E$48,IF(N84="pelet",Q84*'Założenia,wskaźniki, listy'!$G$48,IF(N84="olej opałowy",Q84*'Założenia,wskaźniki, listy'!$G$48,IF(N84="sieć ciepłownicza",0,IF(N84="prąd",0,0)))))))</f>
        <v>0</v>
      </c>
      <c r="AF84" s="639">
        <f>IF(N84="węgiel",Q84*'Założenia,wskaźniki, listy'!$C$49,IF(N84="gaz",Q84*'Założenia,wskaźniki, listy'!$D$49,IF(N84="drewno",Q84*'Założenia,wskaźniki, listy'!$E$49,IF(N84="pelet",Q84*'Założenia,wskaźniki, listy'!$G$49,IF(N84="olej opałowy",Q84*'Założenia,wskaźniki, listy'!$G$49,IF(N84="sieć ciepłownicza",0,IF(N84="prąd",0,0)))))))</f>
        <v>0</v>
      </c>
      <c r="AG84" s="639">
        <f>IF(N84="węgiel",Q84*'Założenia,wskaźniki, listy'!$C$50,IF(N84="gaz",Q84*'Założenia,wskaźniki, listy'!$D$50,IF(N84="drewno",Q84*'Założenia,wskaźniki, listy'!$E$50,IF(N84="pelet",Q84*'Założenia,wskaźniki, listy'!$G$50,IF(N84="olej opałowy",Q84*'Założenia,wskaźniki, listy'!$G$50,IF(N84="sieć ciepłownicza",0,IF(N84="prąd",0,0)))))))</f>
        <v>0</v>
      </c>
      <c r="AH84" s="640">
        <f>IF(L84="węgiel",(P84+R84)/2*'Założenia,wskaźniki, listy'!$C$4,IF(L84="gaz",(P84+R84)/2*'Założenia,wskaźniki, listy'!$C$5,IF(L84="drewno",(P84+R84)/2*'Założenia,wskaźniki, listy'!$C$6,IF(L84="pelet",(P84+R84)/2*'Założenia,wskaźniki, listy'!$C$7,IF(L84="olej opałowy",(P84+R84)/2*'Założenia,wskaźniki, listy'!$C$8,IF(L84="sieć ciepłownicza",(P84+R84)/2*'Założenia,wskaźniki, listy'!$C$9,IF(L84="sieć ciepłownicza",(P84+R84)/2*'Założenia,wskaźniki, listy'!$C$10,)))))))</f>
        <v>0</v>
      </c>
      <c r="AI84" s="640">
        <f>IF(N84="węgiel",Q84*'Założenia,wskaźniki, listy'!$C$4,IF(N84="gaz",Q84*'Założenia,wskaźniki, listy'!$C$5,IF(N84="drewno",Q84*'Założenia,wskaźniki, listy'!$C$6,IF(N84="pelet",Q84*'Założenia,wskaźniki, listy'!$C$7,IF(N84="olej opałowy",Q84*'Założenia,wskaźniki, listy'!$C$8,IF(N84="sieć ciepłownicza",Q84*'Założenia,wskaźniki, listy'!$C$9,IF(N84="sieć ciepłownicza",Q84*'Założenia,wskaźniki, listy'!$C$10,0)))))))</f>
        <v>0</v>
      </c>
      <c r="AJ84" s="640">
        <f>S84*'Założenia,wskaźniki, listy'!$B$64*1000</f>
        <v>0</v>
      </c>
      <c r="AK84" s="640">
        <f>(H84+I84)*'Założenia,wskaźniki, listy'!$D$64*12</f>
        <v>0</v>
      </c>
      <c r="AL84" s="640">
        <f>AK84*'Założenia,wskaźniki, listy'!$F$64</f>
        <v>0</v>
      </c>
      <c r="AM84" s="639">
        <f t="shared" si="128"/>
        <v>0</v>
      </c>
      <c r="AN84" s="639">
        <f t="shared" si="129"/>
        <v>0</v>
      </c>
      <c r="AO84" s="639">
        <f>V84+AC84+S84*'Założenia,wskaźniki, listy'!$J$46</f>
        <v>0</v>
      </c>
      <c r="AP84" s="639">
        <f t="shared" si="130"/>
        <v>0</v>
      </c>
      <c r="AQ84" s="639">
        <f t="shared" si="131"/>
        <v>0</v>
      </c>
      <c r="AR84" s="639">
        <f t="shared" si="132"/>
        <v>0</v>
      </c>
      <c r="AS84" s="639">
        <f t="shared" si="133"/>
        <v>0</v>
      </c>
      <c r="AT84" s="647"/>
      <c r="AU84" s="647"/>
      <c r="AV84" s="624">
        <f t="shared" si="135"/>
        <v>0</v>
      </c>
      <c r="AW84" s="624" t="b">
        <f t="shared" si="136"/>
        <v>0</v>
      </c>
      <c r="AX84" s="624" t="b">
        <f t="shared" si="137"/>
        <v>0</v>
      </c>
      <c r="AY84" s="624" t="b">
        <f t="shared" si="138"/>
        <v>0</v>
      </c>
      <c r="AZ84" s="624" t="b">
        <f t="shared" si="139"/>
        <v>0</v>
      </c>
      <c r="BA84" s="624" t="b">
        <f t="shared" si="140"/>
        <v>0</v>
      </c>
      <c r="BB84" s="624" t="b">
        <f t="shared" si="141"/>
        <v>0</v>
      </c>
      <c r="BC84" s="624" t="b">
        <f t="shared" si="142"/>
        <v>0</v>
      </c>
      <c r="BD84" s="624" t="b">
        <f t="shared" si="143"/>
        <v>0</v>
      </c>
      <c r="BE84" s="624" t="b">
        <f t="shared" si="144"/>
        <v>0</v>
      </c>
      <c r="BF84" s="624" t="b">
        <f t="shared" si="145"/>
        <v>0</v>
      </c>
      <c r="BG84" s="624" t="b">
        <f t="shared" si="146"/>
        <v>0</v>
      </c>
      <c r="BH84" s="624" t="b">
        <f t="shared" si="147"/>
        <v>0</v>
      </c>
      <c r="BI84" s="624" t="b">
        <f t="shared" si="148"/>
        <v>0</v>
      </c>
      <c r="BJ84" s="624" t="b">
        <f t="shared" si="149"/>
        <v>0</v>
      </c>
      <c r="BK84" s="624" t="b">
        <f t="shared" si="150"/>
        <v>0</v>
      </c>
      <c r="BL84" s="624" t="b">
        <f t="shared" si="151"/>
        <v>0</v>
      </c>
      <c r="BM84" s="624" t="b">
        <f t="shared" si="152"/>
        <v>0</v>
      </c>
      <c r="BN84" s="624" t="b">
        <f t="shared" si="153"/>
        <v>0</v>
      </c>
      <c r="BO84" s="624" t="b">
        <f t="shared" si="154"/>
        <v>0</v>
      </c>
      <c r="BP84" s="624" t="b">
        <f t="shared" si="155"/>
        <v>0</v>
      </c>
      <c r="BQ84" s="624" t="b">
        <f t="shared" si="156"/>
        <v>0</v>
      </c>
    </row>
    <row r="85" spans="1:70">
      <c r="A85" s="1086">
        <v>41</v>
      </c>
      <c r="B85" s="872" t="s">
        <v>21</v>
      </c>
      <c r="C85" s="873" t="s">
        <v>621</v>
      </c>
      <c r="D85" s="645" t="s">
        <v>628</v>
      </c>
      <c r="E85" s="645">
        <v>31</v>
      </c>
      <c r="F85" s="644">
        <v>1950</v>
      </c>
      <c r="G85" s="644">
        <v>110</v>
      </c>
      <c r="H85" s="644"/>
      <c r="I85" s="635"/>
      <c r="J85" s="644">
        <f>IF(F85&lt;=1966,'Założenia,wskaźniki, listy'!$H$4,IF(F85&gt;1966,IF(F85&lt;=1985,'Założenia,wskaźniki, listy'!$H$5,IF(F85&gt;1985,IF(F85&lt;=1992,'Założenia,wskaźniki, listy'!$H$6,IF(F85&gt;1992,IF(F85&lt;=1996,'Założenia,wskaźniki, listy'!$H$7,IF(F85&gt;1996,IF(F85&lt;=2015,'Założenia,wskaźniki, listy'!$H$8)))))))))</f>
        <v>290</v>
      </c>
      <c r="K85" s="864" t="s">
        <v>33</v>
      </c>
      <c r="L85" s="644" t="s">
        <v>8</v>
      </c>
      <c r="M85" s="644">
        <v>2</v>
      </c>
      <c r="N85" s="644"/>
      <c r="O85" s="637">
        <f t="shared" si="134"/>
        <v>68.546000000000006</v>
      </c>
      <c r="P85" s="646">
        <f>IF(K85="kompletna",J85*G85*0.0036*'Założenia,wskaźniki, listy'!$P$9,IF(K85="częściowa",J85*G85*0.0036*'Założenia,wskaźniki, listy'!$P$10,IF(K85="brak",J85*G85*0.0036*'Założenia,wskaźniki, listy'!$P$11,0)))</f>
        <v>91.872000000000014</v>
      </c>
      <c r="Q85" s="638">
        <f>H85*'Założenia,wskaźniki, listy'!$L$15</f>
        <v>0</v>
      </c>
      <c r="R85" s="635">
        <f>IF(L85="węgiel",'Mieszkalne - baza'!M85*'Założenia,wskaźniki, listy'!$B$4,IF(L85="gaz",'Mieszkalne - baza'!M85*'Założenia,wskaźniki, listy'!$B$5,IF(L85="drewno",'Mieszkalne - baza'!M85*'Założenia,wskaźniki, listy'!$B$6,IF(L85="pelet",'Mieszkalne - baza'!M85*'Założenia,wskaźniki, listy'!$B$7,IF(L85="olej opałowy",'Mieszkalne - baza'!M85*'Założenia,wskaźniki, listy'!$B$8,IF(L85="sieć ciepłownicza",0,0))))))</f>
        <v>45.22</v>
      </c>
      <c r="S85" s="1084">
        <v>2.2560000000000002</v>
      </c>
      <c r="T85" s="639">
        <f>IF(L85="węgiel",R85*'Założenia,wskaźniki, listy'!$C$44,IF(L85="gaz",R85*'Założenia,wskaźniki, listy'!$D$44,IF(L85="drewno",R85*'Założenia,wskaźniki, listy'!$E$44,IF(L85="pelet",R85*'Założenia,wskaźniki, listy'!$F$44,IF(L85="olej opałowy",R85*'Założenia,wskaźniki, listy'!$G$44,IF(L85="sieć ciepłownicza",0,IF(L85="prąd",0,0)))))))</f>
        <v>1.01745E-2</v>
      </c>
      <c r="U85" s="639">
        <f>IF(L85="węgiel",R85*'Założenia,wskaźniki, listy'!$C$45,IF(L85="gaz",R85*'Założenia,wskaźniki, listy'!$D$45,IF(L85="drewno",R85*'Założenia,wskaźniki, listy'!$E$45,IF(L85="pelet",R85*'Założenia,wskaźniki, listy'!$F$45,IF(L85="olej opałowy",R85*'Założenia,wskaźniki, listy'!$G$45,IF(L85="sieć ciepłownicza",0,IF(L85="prąd",0,0)))))))</f>
        <v>9.0892200000000003E-3</v>
      </c>
      <c r="V85" s="639">
        <f>IF(L85="węgiel",R85*'Założenia,wskaźniki, listy'!$C$46,IF(L85="gaz",R85*'Założenia,wskaźniki, listy'!$D$46,IF(L85="drewno",R85*'Założenia,wskaźniki, listy'!$E$46,IF(L85="pelet",R85*'Założenia,wskaźniki, listy'!$F$46,IF(L85="olej opałowy",R85*'Założenia,wskaźniki, listy'!$G$46,IF(L85="sieć ciepłownicza",R85*'Założenia,wskaźniki, listy'!$H$46,IF(L85="prąd",R85*'Założenia,wskaźniki, listy'!$I$46,0)))))))</f>
        <v>4.2389227999999992</v>
      </c>
      <c r="W85" s="639">
        <f>IF(L85="węgiel",R85*'Założenia,wskaźniki, listy'!$C$47,IF(L85="gaz",R85*'Założenia,wskaźniki, listy'!$D$47,IF(L85="drewno",R85*'Założenia,wskaźniki, listy'!$E$47,IF(L85="pelet",R85*'Założenia,wskaźniki, listy'!$F$47,IF(L85="olej opałowy",R85*'Założenia,wskaźniki, listy'!$G$47,IF(L85="sieć ciepłownicza",0,IF(L85="prąd",0,0)))))))</f>
        <v>1.22094E-5</v>
      </c>
      <c r="X85" s="639">
        <f>IF(L85="węgiel",R85*'Założenia,wskaźniki, listy'!$C$48, IF(L85="gaz",R85*'Założenia,wskaźniki, listy'!$D$48,IF(L85="drewno",R85*'Założenia,wskaźniki, listy'!$E$48,IF(L85="pelet",R85*'Założenia,wskaźniki, listy'!$F$48,IF(L85="olej opałowy",R85*'Założenia,wskaźniki, listy'!$G$48,IF(L85="sieć ciepłownicza",0,IF(L85="prąd",0,0)))))))</f>
        <v>4.0697999999999998E-2</v>
      </c>
      <c r="Y85" s="639">
        <f>IF(L85="węgiel",R85*'Założenia,wskaźniki, listy'!$C$49, IF(L85="gaz",R85*'Założenia,wskaźniki, listy'!$D$49, IF(L85="drewno",R85*'Założenia,wskaźniki, listy'!$E$49,IF(L85="pelet",R85*'Założenia,wskaźniki, listy'!$F$49,IF(L85="olej opałowy",R85*'Założenia,wskaźniki, listy'!$G$49,IF(L85="sieć ciepłownicza",0,IF(L85="prąd",0,0)))))))</f>
        <v>7.1447599999999991E-3</v>
      </c>
      <c r="Z85" s="639">
        <f>IF(L85="węgiel",R85*'Założenia,wskaźniki, listy'!$C$50,IF(L85="gaz",R85*'Założenia,wskaźniki, listy'!$D$50, IF(L85="drewno",R85*'Założenia,wskaźniki, listy'!$E$50,IF(L85="pelet",R85*'Założenia,wskaźniki, listy'!$F$50,IF(L85="pelet",R85*'Założenia,wskaźniki, listy'!$F$50,IF(L85="olej opałowy",R85*'Założenia,wskaźniki, listy'!$G$50,IF(L85="sieć ciepłownicza",0,IF(L85="prąd",0,0))))))))</f>
        <v>9.0965578900312913E-2</v>
      </c>
      <c r="AA85" s="639">
        <f>IF(N85="węgiel",Q85*'Założenia,wskaźniki, listy'!$C$44,IF(N85="gaz",Q85*'Założenia,wskaźniki, listy'!$D$44,IF(N85="drewno",Q85*'Założenia,wskaźniki, listy'!$E$44,IF(N85="pelet",Q85*'Założenia,wskaźniki, listy'!$G$44,IF(N85="olej opałowy",Q85*'Założenia,wskaźniki, listy'!$G$44,IF(N85="sieć ciepłownicza",0,IF(N85="prąd",0,0)))))))</f>
        <v>0</v>
      </c>
      <c r="AB85" s="639">
        <f>IF(N85="węgiel",Q85*'Założenia,wskaźniki, listy'!$C$45,IF(N85="gaz",Q85*'Założenia,wskaźniki, listy'!$D$45,IF(N85="drewno",Q85*'Założenia,wskaźniki, listy'!$E$45,IF(N85="pelet",Q85*'Założenia,wskaźniki, listy'!$G$45,IF(N85="olej opałowy",Q85*'Założenia,wskaźniki, listy'!$G$45,IF(N85="sieć ciepłownicza",0,IF(N85="prąd",0,0)))))))</f>
        <v>0</v>
      </c>
      <c r="AC85" s="639">
        <f>IF(N85="węgiel",Q85*'Założenia,wskaźniki, listy'!$C$46,IF(N85="gaz",Q85*'Założenia,wskaźniki, listy'!$D$46,IF(N85="drewno",Q85*'Założenia,wskaźniki, listy'!$E$46,IF(N85="pelet",Q85*'Założenia,wskaźniki, listy'!$G$46,IF(N85="olej opałowy",Q85*'Założenia,wskaźniki, listy'!$G$46,IF(N85="sieć ciepłownicza",0,IF(N85="prąd",0,0)))))))</f>
        <v>0</v>
      </c>
      <c r="AD85" s="639">
        <f>IF(N85="węgiel",Q85*'Założenia,wskaźniki, listy'!$C$47,IF(N85="gaz",Q85*'Założenia,wskaźniki, listy'!$D$47,IF(N85="drewno",Q85*'Założenia,wskaźniki, listy'!$E$47,IF(N85="pelet",Q85*'Założenia,wskaźniki, listy'!$G$47,IF(N85="olej opałowy",Q85*'Założenia,wskaźniki, listy'!$G$47,IF(N85="sieć ciepłownicza",0,IF(N85="prąd",0,0)))))))</f>
        <v>0</v>
      </c>
      <c r="AE85" s="639">
        <f>IF(N85="węgiel",Q85*'Założenia,wskaźniki, listy'!$C$48,IF(N85="gaz",Q85*'Założenia,wskaźniki, listy'!$D$48,IF(N85="drewno",Q85*'Założenia,wskaźniki, listy'!$E$48,IF(N85="pelet",Q85*'Założenia,wskaźniki, listy'!$G$48,IF(N85="olej opałowy",Q85*'Założenia,wskaźniki, listy'!$G$48,IF(N85="sieć ciepłownicza",0,IF(N85="prąd",0,0)))))))</f>
        <v>0</v>
      </c>
      <c r="AF85" s="639">
        <f>IF(N85="węgiel",Q85*'Założenia,wskaźniki, listy'!$C$49,IF(N85="gaz",Q85*'Założenia,wskaźniki, listy'!$D$49,IF(N85="drewno",Q85*'Założenia,wskaźniki, listy'!$E$49,IF(N85="pelet",Q85*'Założenia,wskaźniki, listy'!$G$49,IF(N85="olej opałowy",Q85*'Założenia,wskaźniki, listy'!$G$49,IF(N85="sieć ciepłownicza",0,IF(N85="prąd",0,0)))))))</f>
        <v>0</v>
      </c>
      <c r="AG85" s="639">
        <f>IF(N85="węgiel",Q85*'Założenia,wskaźniki, listy'!$C$50,IF(N85="gaz",Q85*'Założenia,wskaźniki, listy'!$D$50,IF(N85="drewno",Q85*'Założenia,wskaźniki, listy'!$E$50,IF(N85="pelet",Q85*'Założenia,wskaźniki, listy'!$G$50,IF(N85="olej opałowy",Q85*'Założenia,wskaźniki, listy'!$G$50,IF(N85="sieć ciepłownicza",0,IF(N85="prąd",0,0)))))))</f>
        <v>0</v>
      </c>
      <c r="AH85" s="640">
        <f>IF(L85="węgiel",(P85+R85)/2*'Założenia,wskaźniki, listy'!$C$4,IF(L85="gaz",(P85+R85)/2*'Założenia,wskaźniki, listy'!$C$5,IF(L85="drewno",(P85+R85)/2*'Założenia,wskaźniki, listy'!$C$6,IF(L85="pelet",(P85+R85)/2*'Założenia,wskaźniki, listy'!$C$7,IF(L85="olej opałowy",(P85+R85)/2*'Założenia,wskaźniki, listy'!$C$8,IF(L85="sieć ciepłownicza",(P85+R85)/2*'Założenia,wskaźniki, listy'!$C$9,IF(L85="sieć ciepłownicza",(P85+R85)/2*'Założenia,wskaźniki, listy'!$C$10,)))))))</f>
        <v>2810.3860000000004</v>
      </c>
      <c r="AI85" s="640">
        <f>IF(N85="węgiel",Q85*'Założenia,wskaźniki, listy'!$C$4,IF(N85="gaz",Q85*'Założenia,wskaźniki, listy'!$C$5,IF(N85="drewno",Q85*'Założenia,wskaźniki, listy'!$C$6,IF(N85="pelet",Q85*'Założenia,wskaźniki, listy'!$C$7,IF(N85="olej opałowy",Q85*'Założenia,wskaźniki, listy'!$C$8,IF(N85="sieć ciepłownicza",Q85*'Założenia,wskaźniki, listy'!$C$9,IF(N85="sieć ciepłownicza",Q85*'Założenia,wskaźniki, listy'!$C$10,0)))))))</f>
        <v>0</v>
      </c>
      <c r="AJ85" s="640">
        <f>S85*'Założenia,wskaźniki, listy'!$B$64*1000</f>
        <v>1601.76</v>
      </c>
      <c r="AK85" s="640">
        <f>(H85+I85)*'Założenia,wskaźniki, listy'!$D$64*12</f>
        <v>0</v>
      </c>
      <c r="AL85" s="640">
        <f>AK85*'Założenia,wskaźniki, listy'!$F$64</f>
        <v>0</v>
      </c>
      <c r="AM85" s="639">
        <f t="shared" si="128"/>
        <v>1.01745E-2</v>
      </c>
      <c r="AN85" s="639">
        <f t="shared" si="129"/>
        <v>9.0892200000000003E-3</v>
      </c>
      <c r="AO85" s="639">
        <f>V85+AC85+S85*'Założenia,wskaźniki, listy'!$J$46</f>
        <v>6.1147867999999992</v>
      </c>
      <c r="AP85" s="639">
        <f t="shared" si="130"/>
        <v>1.22094E-5</v>
      </c>
      <c r="AQ85" s="639">
        <f t="shared" si="131"/>
        <v>4.0697999999999998E-2</v>
      </c>
      <c r="AR85" s="639">
        <f t="shared" si="132"/>
        <v>7.1447599999999991E-3</v>
      </c>
      <c r="AS85" s="639">
        <f t="shared" si="133"/>
        <v>9.0965578900312913E-2</v>
      </c>
      <c r="AT85" s="647"/>
      <c r="AU85" s="647"/>
      <c r="AV85" s="624">
        <f t="shared" si="135"/>
        <v>110</v>
      </c>
      <c r="AW85" s="624">
        <f t="shared" si="136"/>
        <v>55</v>
      </c>
      <c r="AX85" s="624" t="b">
        <f t="shared" si="137"/>
        <v>0</v>
      </c>
      <c r="AY85" s="624">
        <f t="shared" si="138"/>
        <v>0</v>
      </c>
      <c r="AZ85" s="624" t="b">
        <f t="shared" si="139"/>
        <v>0</v>
      </c>
      <c r="BA85" s="624">
        <f t="shared" si="140"/>
        <v>0</v>
      </c>
      <c r="BB85" s="624" t="b">
        <f t="shared" si="141"/>
        <v>0</v>
      </c>
      <c r="BC85" s="624">
        <f t="shared" si="142"/>
        <v>0</v>
      </c>
      <c r="BD85" s="624" t="b">
        <f t="shared" si="143"/>
        <v>0</v>
      </c>
      <c r="BE85" s="624">
        <f t="shared" si="144"/>
        <v>0</v>
      </c>
      <c r="BF85" s="624">
        <f t="shared" si="145"/>
        <v>45.22</v>
      </c>
      <c r="BG85" s="624" t="b">
        <f t="shared" si="146"/>
        <v>0</v>
      </c>
      <c r="BH85" s="624" t="b">
        <f t="shared" si="147"/>
        <v>0</v>
      </c>
      <c r="BI85" s="624" t="b">
        <f t="shared" si="148"/>
        <v>0</v>
      </c>
      <c r="BJ85" s="624" t="b">
        <f t="shared" si="149"/>
        <v>0</v>
      </c>
      <c r="BK85" s="624" t="b">
        <f t="shared" si="150"/>
        <v>0</v>
      </c>
      <c r="BL85" s="624" t="b">
        <f t="shared" si="151"/>
        <v>0</v>
      </c>
      <c r="BM85" s="624" t="b">
        <f t="shared" si="152"/>
        <v>0</v>
      </c>
      <c r="BN85" s="624" t="b">
        <f t="shared" si="153"/>
        <v>0</v>
      </c>
      <c r="BO85" s="624" t="b">
        <f t="shared" si="154"/>
        <v>0</v>
      </c>
      <c r="BP85" s="624" t="b">
        <f t="shared" si="155"/>
        <v>0</v>
      </c>
      <c r="BQ85" s="624" t="b">
        <f t="shared" si="156"/>
        <v>0</v>
      </c>
    </row>
    <row r="86" spans="1:70">
      <c r="A86" s="1087"/>
      <c r="B86" s="872"/>
      <c r="C86" s="872"/>
      <c r="D86" s="645"/>
      <c r="E86" s="645"/>
      <c r="F86" s="644"/>
      <c r="G86" s="644"/>
      <c r="H86" s="644"/>
      <c r="I86" s="635"/>
      <c r="J86" s="644">
        <f>IF(F86&lt;=1966,'Założenia,wskaźniki, listy'!$H$4,IF(F86&gt;1966,IF(F86&lt;=1985,'Założenia,wskaźniki, listy'!$H$5,IF(F86&gt;1985,IF(F86&lt;=1992,'Założenia,wskaźniki, listy'!$H$6,IF(F86&gt;1992,IF(F86&lt;=1996,'Założenia,wskaźniki, listy'!$H$7,IF(F86&gt;1996,IF(F86&lt;=2015,'Założenia,wskaźniki, listy'!$H$8)))))))))</f>
        <v>290</v>
      </c>
      <c r="K86" s="872"/>
      <c r="L86" s="644" t="s">
        <v>79</v>
      </c>
      <c r="M86" s="644">
        <v>2.5</v>
      </c>
      <c r="N86" s="644"/>
      <c r="O86" s="637">
        <f t="shared" si="134"/>
        <v>37.5</v>
      </c>
      <c r="P86" s="646">
        <f>IF(K86="kompletna",J86*G86*0.0036*'Założenia,wskaźniki, listy'!$P$9,IF(K86="częściowa",J86*G86*0.0036*'Założenia,wskaźniki, listy'!$P$10,IF(K86="brak",J86*G86*0.0036*'Założenia,wskaźniki, listy'!$P$11,0)))</f>
        <v>0</v>
      </c>
      <c r="Q86" s="638">
        <f>H86*'Założenia,wskaźniki, listy'!$L$15</f>
        <v>0</v>
      </c>
      <c r="R86" s="635">
        <f>IF(L86="węgiel",'Mieszkalne - baza'!M86*'Założenia,wskaźniki, listy'!$B$4,IF(L86="gaz",'Mieszkalne - baza'!M86*'Założenia,wskaźniki, listy'!$B$5,IF(L86="drewno",'Mieszkalne - baza'!M86*'Założenia,wskaźniki, listy'!$B$6,IF(L86="pelet",'Mieszkalne - baza'!M86*'Założenia,wskaźniki, listy'!$B$7,IF(L86="olej opałowy",'Mieszkalne - baza'!M86*'Założenia,wskaźniki, listy'!$B$8,IF(L86="sieć ciepłownicza",0,0))))))</f>
        <v>37.5</v>
      </c>
      <c r="S86" s="1085"/>
      <c r="T86" s="639">
        <f>IF(L86="węgiel",R86*'Założenia,wskaźniki, listy'!$C$44,IF(L86="gaz",R86*'Założenia,wskaźniki, listy'!$D$44,IF(L86="drewno",R86*'Założenia,wskaźniki, listy'!$E$44,IF(L86="pelet",R86*'Założenia,wskaźniki, listy'!$F$44,IF(L86="olej opałowy",R86*'Założenia,wskaźniki, listy'!$G$44,IF(L86="sieć ciepłownicza",0,IF(L86="prąd",0,0)))))))</f>
        <v>1.8000000000000002E-2</v>
      </c>
      <c r="U86" s="639">
        <f>IF(L86="węgiel",R86*'Założenia,wskaźniki, listy'!$C$45,IF(L86="gaz",R86*'Założenia,wskaźniki, listy'!$D$45,IF(L86="drewno",R86*'Założenia,wskaźniki, listy'!$E$45,IF(L86="pelet",R86*'Założenia,wskaźniki, listy'!$F$45,IF(L86="olej opałowy",R86*'Założenia,wskaźniki, listy'!$G$45,IF(L86="sieć ciepłownicza",0,IF(L86="prąd",0,0)))))))</f>
        <v>1.7624999999999998E-2</v>
      </c>
      <c r="V86" s="639">
        <f>IF(L86="węgiel",R86*'Założenia,wskaźniki, listy'!$C$46,IF(L86="gaz",R86*'Założenia,wskaźniki, listy'!$D$46,IF(L86="drewno",R86*'Założenia,wskaźniki, listy'!$E$46,IF(L86="pelet",R86*'Założenia,wskaźniki, listy'!$F$46,IF(L86="olej opałowy",R86*'Założenia,wskaźniki, listy'!$G$46,IF(L86="sieć ciepłownicza",R86*'Założenia,wskaźniki, listy'!$H$46,IF(L86="prąd",R86*'Założenia,wskaźniki, listy'!$I$46,0)))))))</f>
        <v>0</v>
      </c>
      <c r="W86" s="639">
        <f>IF(L86="węgiel",R86*'Założenia,wskaźniki, listy'!$C$47,IF(L86="gaz",R86*'Założenia,wskaźniki, listy'!$D$47,IF(L86="drewno",R86*'Założenia,wskaźniki, listy'!$E$47,IF(L86="pelet",R86*'Założenia,wskaźniki, listy'!$F$47,IF(L86="olej opałowy",R86*'Założenia,wskaźniki, listy'!$G$47,IF(L86="sieć ciepłownicza",0,IF(L86="prąd",0,0)))))))</f>
        <v>4.5375000000000002E-6</v>
      </c>
      <c r="X86" s="639">
        <f>IF(L86="węgiel",R86*'Założenia,wskaźniki, listy'!$C$48, IF(L86="gaz",R86*'Założenia,wskaźniki, listy'!$D$48,IF(L86="drewno",R86*'Założenia,wskaźniki, listy'!$E$48,IF(L86="pelet",R86*'Założenia,wskaźniki, listy'!$F$48,IF(L86="olej opałowy",R86*'Założenia,wskaźniki, listy'!$G$48,IF(L86="sieć ciepłownicza",0,IF(L86="prąd",0,0)))))))</f>
        <v>4.125E-4</v>
      </c>
      <c r="Y86" s="639">
        <f>IF(L86="węgiel",R86*'Założenia,wskaźniki, listy'!$C$49, IF(L86="gaz",R86*'Założenia,wskaźniki, listy'!$D$49, IF(L86="drewno",R86*'Założenia,wskaźniki, listy'!$E$49,IF(L86="pelet",R86*'Założenia,wskaźniki, listy'!$F$49,IF(L86="olej opałowy",R86*'Założenia,wskaźniki, listy'!$G$49,IF(L86="sieć ciepłownicza",0,IF(L86="prąd",0,0)))))))</f>
        <v>3.0000000000000001E-3</v>
      </c>
      <c r="Z86" s="639">
        <f>IF(L86="węgiel",R86*'Założenia,wskaźniki, listy'!$C$50,IF(L86="gaz",R86*'Założenia,wskaźniki, listy'!$D$50, IF(L86="drewno",R86*'Założenia,wskaźniki, listy'!$E$50,IF(L86="pelet",R86*'Założenia,wskaźniki, listy'!$F$50,IF(L86="pelet",R86*'Założenia,wskaźniki, listy'!$F$50,IF(L86="olej opałowy",R86*'Założenia,wskaźniki, listy'!$G$50,IF(L86="sieć ciepłownicza",0,IF(L86="prąd",0,0))))))))</f>
        <v>6.7275E-3</v>
      </c>
      <c r="AA86" s="639">
        <f>IF(N86="węgiel",Q86*'Założenia,wskaźniki, listy'!$C$44,IF(N86="gaz",Q86*'Założenia,wskaźniki, listy'!$D$44,IF(N86="drewno",Q86*'Założenia,wskaźniki, listy'!$E$44,IF(N86="pelet",Q86*'Założenia,wskaźniki, listy'!$G$44,IF(N86="olej opałowy",Q86*'Założenia,wskaźniki, listy'!$G$44,IF(N86="sieć ciepłownicza",0,IF(N86="prąd",0,0)))))))</f>
        <v>0</v>
      </c>
      <c r="AB86" s="639">
        <f>IF(N86="węgiel",Q86*'Założenia,wskaźniki, listy'!$C$45,IF(N86="gaz",Q86*'Założenia,wskaźniki, listy'!$D$45,IF(N86="drewno",Q86*'Założenia,wskaźniki, listy'!$E$45,IF(N86="pelet",Q86*'Założenia,wskaźniki, listy'!$G$45,IF(N86="olej opałowy",Q86*'Założenia,wskaźniki, listy'!$G$45,IF(N86="sieć ciepłownicza",0,IF(N86="prąd",0,0)))))))</f>
        <v>0</v>
      </c>
      <c r="AC86" s="639">
        <f>IF(N86="węgiel",Q86*'Założenia,wskaźniki, listy'!$C$46,IF(N86="gaz",Q86*'Założenia,wskaźniki, listy'!$D$46,IF(N86="drewno",Q86*'Założenia,wskaźniki, listy'!$E$46,IF(N86="pelet",Q86*'Założenia,wskaźniki, listy'!$G$46,IF(N86="olej opałowy",Q86*'Założenia,wskaźniki, listy'!$G$46,IF(N86="sieć ciepłownicza",0,IF(N86="prąd",0,0)))))))</f>
        <v>0</v>
      </c>
      <c r="AD86" s="639">
        <f>IF(N86="węgiel",Q86*'Założenia,wskaźniki, listy'!$C$47,IF(N86="gaz",Q86*'Założenia,wskaźniki, listy'!$D$47,IF(N86="drewno",Q86*'Założenia,wskaźniki, listy'!$E$47,IF(N86="pelet",Q86*'Założenia,wskaźniki, listy'!$G$47,IF(N86="olej opałowy",Q86*'Założenia,wskaźniki, listy'!$G$47,IF(N86="sieć ciepłownicza",0,IF(N86="prąd",0,0)))))))</f>
        <v>0</v>
      </c>
      <c r="AE86" s="639">
        <f>IF(N86="węgiel",Q86*'Założenia,wskaźniki, listy'!$C$48,IF(N86="gaz",Q86*'Założenia,wskaźniki, listy'!$D$48,IF(N86="drewno",Q86*'Założenia,wskaźniki, listy'!$E$48,IF(N86="pelet",Q86*'Założenia,wskaźniki, listy'!$G$48,IF(N86="olej opałowy",Q86*'Założenia,wskaźniki, listy'!$G$48,IF(N86="sieć ciepłownicza",0,IF(N86="prąd",0,0)))))))</f>
        <v>0</v>
      </c>
      <c r="AF86" s="639">
        <f>IF(N86="węgiel",Q86*'Założenia,wskaźniki, listy'!$C$49,IF(N86="gaz",Q86*'Założenia,wskaźniki, listy'!$D$49,IF(N86="drewno",Q86*'Założenia,wskaźniki, listy'!$E$49,IF(N86="pelet",Q86*'Założenia,wskaźniki, listy'!$G$49,IF(N86="olej opałowy",Q86*'Założenia,wskaźniki, listy'!$G$49,IF(N86="sieć ciepłownicza",0,IF(N86="prąd",0,0)))))))</f>
        <v>0</v>
      </c>
      <c r="AG86" s="639">
        <f>IF(N86="węgiel",Q86*'Założenia,wskaźniki, listy'!$C$50,IF(N86="gaz",Q86*'Założenia,wskaźniki, listy'!$D$50,IF(N86="drewno",Q86*'Założenia,wskaźniki, listy'!$E$50,IF(N86="pelet",Q86*'Założenia,wskaźniki, listy'!$G$50,IF(N86="olej opałowy",Q86*'Założenia,wskaźniki, listy'!$G$50,IF(N86="sieć ciepłownicza",0,IF(N86="prąd",0,0)))))))</f>
        <v>0</v>
      </c>
      <c r="AH86" s="640">
        <f>IF(L86="węgiel",(P86+R86)/2*'Założenia,wskaźniki, listy'!$C$4,IF(L86="gaz",(P86+R86)/2*'Założenia,wskaźniki, listy'!$C$5,IF(L86="drewno",(P86+R86)/2*'Założenia,wskaźniki, listy'!$C$6,IF(L86="pelet",(P86+R86)/2*'Założenia,wskaźniki, listy'!$C$7,IF(L86="olej opałowy",(P86+R86)/2*'Założenia,wskaźniki, listy'!$C$8,IF(L86="sieć ciepłownicza",(P86+R86)/2*'Założenia,wskaźniki, listy'!$C$9,IF(L86="sieć ciepłownicza",(P86+R86)/2*'Założenia,wskaźniki, listy'!$C$10,)))))))</f>
        <v>712.5</v>
      </c>
      <c r="AI86" s="640">
        <f>IF(N86="węgiel",Q86*'Założenia,wskaźniki, listy'!$C$4,IF(N86="gaz",Q86*'Założenia,wskaźniki, listy'!$C$5,IF(N86="drewno",Q86*'Założenia,wskaźniki, listy'!$C$6,IF(N86="pelet",Q86*'Założenia,wskaźniki, listy'!$C$7,IF(N86="olej opałowy",Q86*'Założenia,wskaźniki, listy'!$C$8,IF(N86="sieć ciepłownicza",Q86*'Założenia,wskaźniki, listy'!$C$9,IF(N86="sieć ciepłownicza",Q86*'Założenia,wskaźniki, listy'!$C$10,0)))))))</f>
        <v>0</v>
      </c>
      <c r="AJ86" s="640">
        <f>S86*'Założenia,wskaźniki, listy'!$B$64*1000</f>
        <v>0</v>
      </c>
      <c r="AK86" s="640">
        <f>(H86+I86)*'Założenia,wskaźniki, listy'!$D$64*12</f>
        <v>0</v>
      </c>
      <c r="AL86" s="640">
        <f>AK86*'Założenia,wskaźniki, listy'!$F$64</f>
        <v>0</v>
      </c>
      <c r="AM86" s="639">
        <f t="shared" si="128"/>
        <v>1.8000000000000002E-2</v>
      </c>
      <c r="AN86" s="639">
        <f t="shared" si="129"/>
        <v>1.7624999999999998E-2</v>
      </c>
      <c r="AO86" s="639">
        <f>V86+AC86+S86*'Założenia,wskaźniki, listy'!$J$46</f>
        <v>0</v>
      </c>
      <c r="AP86" s="639">
        <f t="shared" si="130"/>
        <v>4.5375000000000002E-6</v>
      </c>
      <c r="AQ86" s="639">
        <f t="shared" si="131"/>
        <v>4.125E-4</v>
      </c>
      <c r="AR86" s="639">
        <f t="shared" si="132"/>
        <v>3.0000000000000001E-3</v>
      </c>
      <c r="AS86" s="639">
        <f t="shared" si="133"/>
        <v>6.7275E-3</v>
      </c>
      <c r="AT86" s="647"/>
      <c r="AU86" s="647"/>
      <c r="AV86" s="624">
        <f t="shared" si="135"/>
        <v>0</v>
      </c>
      <c r="AW86" s="624" t="b">
        <f t="shared" si="136"/>
        <v>0</v>
      </c>
      <c r="AX86" s="624" t="b">
        <f t="shared" si="137"/>
        <v>0</v>
      </c>
      <c r="AY86" s="624" t="b">
        <f t="shared" si="138"/>
        <v>0</v>
      </c>
      <c r="AZ86" s="624" t="b">
        <f t="shared" si="139"/>
        <v>0</v>
      </c>
      <c r="BA86" s="624" t="b">
        <f t="shared" si="140"/>
        <v>0</v>
      </c>
      <c r="BB86" s="624" t="b">
        <f t="shared" si="141"/>
        <v>0</v>
      </c>
      <c r="BC86" s="624" t="b">
        <f t="shared" si="142"/>
        <v>0</v>
      </c>
      <c r="BD86" s="624" t="b">
        <f t="shared" si="143"/>
        <v>0</v>
      </c>
      <c r="BE86" s="624" t="b">
        <f t="shared" si="144"/>
        <v>0</v>
      </c>
      <c r="BF86" s="624" t="b">
        <f t="shared" si="145"/>
        <v>0</v>
      </c>
      <c r="BG86" s="624" t="b">
        <f t="shared" si="146"/>
        <v>0</v>
      </c>
      <c r="BH86" s="624">
        <f t="shared" si="147"/>
        <v>37.5</v>
      </c>
      <c r="BI86" s="624" t="b">
        <f t="shared" si="148"/>
        <v>0</v>
      </c>
      <c r="BJ86" s="624" t="b">
        <f t="shared" si="149"/>
        <v>0</v>
      </c>
      <c r="BK86" s="624" t="b">
        <f t="shared" si="150"/>
        <v>0</v>
      </c>
      <c r="BL86" s="624" t="b">
        <f t="shared" si="151"/>
        <v>0</v>
      </c>
      <c r="BM86" s="624" t="b">
        <f t="shared" si="152"/>
        <v>0</v>
      </c>
      <c r="BN86" s="624" t="b">
        <f t="shared" si="153"/>
        <v>0</v>
      </c>
      <c r="BO86" s="624" t="b">
        <f t="shared" si="154"/>
        <v>0</v>
      </c>
      <c r="BP86" s="624" t="b">
        <f t="shared" si="155"/>
        <v>0</v>
      </c>
      <c r="BQ86" s="624" t="b">
        <f t="shared" si="156"/>
        <v>0</v>
      </c>
    </row>
    <row r="87" spans="1:70">
      <c r="A87" s="1086">
        <v>42</v>
      </c>
      <c r="B87" s="872" t="s">
        <v>21</v>
      </c>
      <c r="C87" s="873" t="s">
        <v>621</v>
      </c>
      <c r="D87" s="645" t="s">
        <v>628</v>
      </c>
      <c r="E87" s="645">
        <v>29</v>
      </c>
      <c r="F87" s="644">
        <v>1930</v>
      </c>
      <c r="G87" s="644">
        <v>40</v>
      </c>
      <c r="H87" s="644"/>
      <c r="I87" s="635"/>
      <c r="J87" s="644">
        <f>IF(F87&lt;=1966,'Założenia,wskaźniki, listy'!$H$4,IF(F87&gt;1966,IF(F87&lt;=1985,'Założenia,wskaźniki, listy'!$H$5,IF(F87&gt;1985,IF(F87&lt;=1992,'Założenia,wskaźniki, listy'!$H$6,IF(F87&gt;1992,IF(F87&lt;=1996,'Założenia,wskaźniki, listy'!$H$7,IF(F87&gt;1996,IF(F87&lt;=2015,'Założenia,wskaźniki, listy'!$H$8)))))))))</f>
        <v>290</v>
      </c>
      <c r="K87" s="864" t="s">
        <v>31</v>
      </c>
      <c r="L87" s="644" t="s">
        <v>79</v>
      </c>
      <c r="M87" s="644">
        <v>2.5</v>
      </c>
      <c r="N87" s="644"/>
      <c r="O87" s="637">
        <f t="shared" si="134"/>
        <v>39.629999999999995</v>
      </c>
      <c r="P87" s="646">
        <f>IF(K87="kompletna",J87*G87*0.0036*'Założenia,wskaźniki, listy'!$P$9,IF(K87="częściowa",J87*G87*0.0036*'Założenia,wskaźniki, listy'!$P$10,IF(K87="brak",J87*G87*0.0036*'Założenia,wskaźniki, listy'!$P$11,0)))</f>
        <v>41.76</v>
      </c>
      <c r="Q87" s="638">
        <f>H87*'Założenia,wskaźniki, listy'!$L$15</f>
        <v>0</v>
      </c>
      <c r="R87" s="635">
        <f>IF(L87="węgiel",'Mieszkalne - baza'!M87*'Założenia,wskaźniki, listy'!$B$4,IF(L87="gaz",'Mieszkalne - baza'!M87*'Założenia,wskaźniki, listy'!$B$5,IF(L87="drewno",'Mieszkalne - baza'!M87*'Założenia,wskaźniki, listy'!$B$6,IF(L87="pelet",'Mieszkalne - baza'!M87*'Założenia,wskaźniki, listy'!$B$7,IF(L87="olej opałowy",'Mieszkalne - baza'!M87*'Założenia,wskaźniki, listy'!$B$8,IF(L87="sieć ciepłownicza",0,0))))))</f>
        <v>37.5</v>
      </c>
      <c r="S87" s="1084">
        <v>1.6919999999999999</v>
      </c>
      <c r="T87" s="639">
        <f>IF(L87="węgiel",R87*'Założenia,wskaźniki, listy'!$C$44,IF(L87="gaz",R87*'Założenia,wskaźniki, listy'!$D$44,IF(L87="drewno",R87*'Założenia,wskaźniki, listy'!$E$44,IF(L87="pelet",R87*'Założenia,wskaźniki, listy'!$F$44,IF(L87="olej opałowy",R87*'Założenia,wskaźniki, listy'!$G$44,IF(L87="sieć ciepłownicza",0,IF(L87="prąd",0,0)))))))</f>
        <v>1.8000000000000002E-2</v>
      </c>
      <c r="U87" s="639">
        <f>IF(L87="węgiel",R87*'Założenia,wskaźniki, listy'!$C$45,IF(L87="gaz",R87*'Założenia,wskaźniki, listy'!$D$45,IF(L87="drewno",R87*'Założenia,wskaźniki, listy'!$E$45,IF(L87="pelet",R87*'Założenia,wskaźniki, listy'!$F$45,IF(L87="olej opałowy",R87*'Założenia,wskaźniki, listy'!$G$45,IF(L87="sieć ciepłownicza",0,IF(L87="prąd",0,0)))))))</f>
        <v>1.7624999999999998E-2</v>
      </c>
      <c r="V87" s="639">
        <f>IF(L87="węgiel",R87*'Założenia,wskaźniki, listy'!$C$46,IF(L87="gaz",R87*'Założenia,wskaźniki, listy'!$D$46,IF(L87="drewno",R87*'Założenia,wskaźniki, listy'!$E$46,IF(L87="pelet",R87*'Założenia,wskaźniki, listy'!$F$46,IF(L87="olej opałowy",R87*'Założenia,wskaźniki, listy'!$G$46,IF(L87="sieć ciepłownicza",R87*'Założenia,wskaźniki, listy'!$H$46,IF(L87="prąd",R87*'Założenia,wskaźniki, listy'!$I$46,0)))))))</f>
        <v>0</v>
      </c>
      <c r="W87" s="639">
        <f>IF(L87="węgiel",R87*'Założenia,wskaźniki, listy'!$C$47,IF(L87="gaz",R87*'Założenia,wskaźniki, listy'!$D$47,IF(L87="drewno",R87*'Założenia,wskaźniki, listy'!$E$47,IF(L87="pelet",R87*'Założenia,wskaźniki, listy'!$F$47,IF(L87="olej opałowy",R87*'Założenia,wskaźniki, listy'!$G$47,IF(L87="sieć ciepłownicza",0,IF(L87="prąd",0,0)))))))</f>
        <v>4.5375000000000002E-6</v>
      </c>
      <c r="X87" s="639">
        <f>IF(L87="węgiel",R87*'Założenia,wskaźniki, listy'!$C$48, IF(L87="gaz",R87*'Założenia,wskaźniki, listy'!$D$48,IF(L87="drewno",R87*'Założenia,wskaźniki, listy'!$E$48,IF(L87="pelet",R87*'Założenia,wskaźniki, listy'!$F$48,IF(L87="olej opałowy",R87*'Założenia,wskaźniki, listy'!$G$48,IF(L87="sieć ciepłownicza",0,IF(L87="prąd",0,0)))))))</f>
        <v>4.125E-4</v>
      </c>
      <c r="Y87" s="639">
        <f>IF(L87="węgiel",R87*'Założenia,wskaźniki, listy'!$C$49, IF(L87="gaz",R87*'Założenia,wskaźniki, listy'!$D$49, IF(L87="drewno",R87*'Założenia,wskaźniki, listy'!$E$49,IF(L87="pelet",R87*'Założenia,wskaźniki, listy'!$F$49,IF(L87="olej opałowy",R87*'Założenia,wskaźniki, listy'!$G$49,IF(L87="sieć ciepłownicza",0,IF(L87="prąd",0,0)))))))</f>
        <v>3.0000000000000001E-3</v>
      </c>
      <c r="Z87" s="639">
        <f>IF(L87="węgiel",R87*'Założenia,wskaźniki, listy'!$C$50,IF(L87="gaz",R87*'Założenia,wskaźniki, listy'!$D$50, IF(L87="drewno",R87*'Założenia,wskaźniki, listy'!$E$50,IF(L87="pelet",R87*'Założenia,wskaźniki, listy'!$F$50,IF(L87="pelet",R87*'Założenia,wskaźniki, listy'!$F$50,IF(L87="olej opałowy",R87*'Założenia,wskaźniki, listy'!$G$50,IF(L87="sieć ciepłownicza",0,IF(L87="prąd",0,0))))))))</f>
        <v>6.7275E-3</v>
      </c>
      <c r="AA87" s="639">
        <f>IF(N87="węgiel",Q87*'Założenia,wskaźniki, listy'!$C$44,IF(N87="gaz",Q87*'Założenia,wskaźniki, listy'!$D$44,IF(N87="drewno",Q87*'Założenia,wskaźniki, listy'!$E$44,IF(N87="pelet",Q87*'Założenia,wskaźniki, listy'!$G$44,IF(N87="olej opałowy",Q87*'Założenia,wskaźniki, listy'!$G$44,IF(N87="sieć ciepłownicza",0,IF(N87="prąd",0,0)))))))</f>
        <v>0</v>
      </c>
      <c r="AB87" s="639">
        <f>IF(N87="węgiel",Q87*'Założenia,wskaźniki, listy'!$C$45,IF(N87="gaz",Q87*'Założenia,wskaźniki, listy'!$D$45,IF(N87="drewno",Q87*'Założenia,wskaźniki, listy'!$E$45,IF(N87="pelet",Q87*'Założenia,wskaźniki, listy'!$G$45,IF(N87="olej opałowy",Q87*'Założenia,wskaźniki, listy'!$G$45,IF(N87="sieć ciepłownicza",0,IF(N87="prąd",0,0)))))))</f>
        <v>0</v>
      </c>
      <c r="AC87" s="639">
        <f>IF(N87="węgiel",Q87*'Założenia,wskaźniki, listy'!$C$46,IF(N87="gaz",Q87*'Założenia,wskaźniki, listy'!$D$46,IF(N87="drewno",Q87*'Założenia,wskaźniki, listy'!$E$46,IF(N87="pelet",Q87*'Założenia,wskaźniki, listy'!$G$46,IF(N87="olej opałowy",Q87*'Założenia,wskaźniki, listy'!$G$46,IF(N87="sieć ciepłownicza",0,IF(N87="prąd",0,0)))))))</f>
        <v>0</v>
      </c>
      <c r="AD87" s="639">
        <f>IF(N87="węgiel",Q87*'Założenia,wskaźniki, listy'!$C$47,IF(N87="gaz",Q87*'Założenia,wskaźniki, listy'!$D$47,IF(N87="drewno",Q87*'Założenia,wskaźniki, listy'!$E$47,IF(N87="pelet",Q87*'Założenia,wskaźniki, listy'!$G$47,IF(N87="olej opałowy",Q87*'Założenia,wskaźniki, listy'!$G$47,IF(N87="sieć ciepłownicza",0,IF(N87="prąd",0,0)))))))</f>
        <v>0</v>
      </c>
      <c r="AE87" s="639">
        <f>IF(N87="węgiel",Q87*'Założenia,wskaźniki, listy'!$C$48,IF(N87="gaz",Q87*'Założenia,wskaźniki, listy'!$D$48,IF(N87="drewno",Q87*'Założenia,wskaźniki, listy'!$E$48,IF(N87="pelet",Q87*'Założenia,wskaźniki, listy'!$G$48,IF(N87="olej opałowy",Q87*'Założenia,wskaźniki, listy'!$G$48,IF(N87="sieć ciepłownicza",0,IF(N87="prąd",0,0)))))))</f>
        <v>0</v>
      </c>
      <c r="AF87" s="639">
        <f>IF(N87="węgiel",Q87*'Założenia,wskaźniki, listy'!$C$49,IF(N87="gaz",Q87*'Założenia,wskaźniki, listy'!$D$49,IF(N87="drewno",Q87*'Założenia,wskaźniki, listy'!$E$49,IF(N87="pelet",Q87*'Założenia,wskaźniki, listy'!$G$49,IF(N87="olej opałowy",Q87*'Założenia,wskaźniki, listy'!$G$49,IF(N87="sieć ciepłownicza",0,IF(N87="prąd",0,0)))))))</f>
        <v>0</v>
      </c>
      <c r="AG87" s="639">
        <f>IF(N87="węgiel",Q87*'Założenia,wskaźniki, listy'!$C$50,IF(N87="gaz",Q87*'Założenia,wskaźniki, listy'!$D$50,IF(N87="drewno",Q87*'Założenia,wskaźniki, listy'!$E$50,IF(N87="pelet",Q87*'Założenia,wskaźniki, listy'!$G$50,IF(N87="olej opałowy",Q87*'Założenia,wskaźniki, listy'!$G$50,IF(N87="sieć ciepłownicza",0,IF(N87="prąd",0,0)))))))</f>
        <v>0</v>
      </c>
      <c r="AH87" s="640">
        <f>IF(L87="węgiel",(P87+R87)/2*'Założenia,wskaźniki, listy'!$C$4,IF(L87="gaz",(P87+R87)/2*'Założenia,wskaźniki, listy'!$C$5,IF(L87="drewno",(P87+R87)/2*'Założenia,wskaźniki, listy'!$C$6,IF(L87="pelet",(P87+R87)/2*'Założenia,wskaźniki, listy'!$C$7,IF(L87="olej opałowy",(P87+R87)/2*'Założenia,wskaźniki, listy'!$C$8,IF(L87="sieć ciepłownicza",(P87+R87)/2*'Założenia,wskaźniki, listy'!$C$9,IF(L87="sieć ciepłownicza",(P87+R87)/2*'Założenia,wskaźniki, listy'!$C$10,)))))))</f>
        <v>1505.9399999999998</v>
      </c>
      <c r="AI87" s="640">
        <f>IF(N87="węgiel",Q87*'Założenia,wskaźniki, listy'!$C$4,IF(N87="gaz",Q87*'Założenia,wskaźniki, listy'!$C$5,IF(N87="drewno",Q87*'Założenia,wskaźniki, listy'!$C$6,IF(N87="pelet",Q87*'Założenia,wskaźniki, listy'!$C$7,IF(N87="olej opałowy",Q87*'Założenia,wskaźniki, listy'!$C$8,IF(N87="sieć ciepłownicza",Q87*'Założenia,wskaźniki, listy'!$C$9,IF(N87="sieć ciepłownicza",Q87*'Założenia,wskaźniki, listy'!$C$10,0)))))))</f>
        <v>0</v>
      </c>
      <c r="AJ87" s="640">
        <f>S87*'Założenia,wskaźniki, listy'!$B$64*1000</f>
        <v>1201.32</v>
      </c>
      <c r="AK87" s="640">
        <f>(H87+I87)*'Założenia,wskaźniki, listy'!$D$64*12</f>
        <v>0</v>
      </c>
      <c r="AL87" s="640">
        <f>AK87*'Założenia,wskaźniki, listy'!$F$64</f>
        <v>0</v>
      </c>
      <c r="AM87" s="639">
        <f t="shared" si="128"/>
        <v>1.8000000000000002E-2</v>
      </c>
      <c r="AN87" s="639">
        <f t="shared" si="129"/>
        <v>1.7624999999999998E-2</v>
      </c>
      <c r="AO87" s="639">
        <f>V87+AC87+S87*'Założenia,wskaźniki, listy'!$J$46</f>
        <v>1.406898</v>
      </c>
      <c r="AP87" s="639">
        <f t="shared" si="130"/>
        <v>4.5375000000000002E-6</v>
      </c>
      <c r="AQ87" s="639">
        <f t="shared" si="131"/>
        <v>4.125E-4</v>
      </c>
      <c r="AR87" s="639">
        <f t="shared" si="132"/>
        <v>3.0000000000000001E-3</v>
      </c>
      <c r="AS87" s="639">
        <f t="shared" si="133"/>
        <v>6.7275E-3</v>
      </c>
      <c r="AT87" s="647"/>
      <c r="AU87" s="647"/>
      <c r="AV87" s="624">
        <f t="shared" si="135"/>
        <v>40</v>
      </c>
      <c r="AW87" s="624" t="b">
        <f t="shared" si="136"/>
        <v>0</v>
      </c>
      <c r="AX87" s="624" t="b">
        <f t="shared" si="137"/>
        <v>0</v>
      </c>
      <c r="AY87" s="624" t="b">
        <f t="shared" si="138"/>
        <v>0</v>
      </c>
      <c r="AZ87" s="624" t="b">
        <f t="shared" si="139"/>
        <v>0</v>
      </c>
      <c r="BA87" s="624" t="b">
        <f t="shared" si="140"/>
        <v>0</v>
      </c>
      <c r="BB87" s="624" t="b">
        <f t="shared" si="141"/>
        <v>0</v>
      </c>
      <c r="BC87" s="624" t="b">
        <f t="shared" si="142"/>
        <v>0</v>
      </c>
      <c r="BD87" s="624" t="b">
        <f t="shared" si="143"/>
        <v>0</v>
      </c>
      <c r="BE87" s="624" t="b">
        <f t="shared" si="144"/>
        <v>0</v>
      </c>
      <c r="BF87" s="624" t="b">
        <f t="shared" si="145"/>
        <v>0</v>
      </c>
      <c r="BG87" s="624" t="b">
        <f t="shared" si="146"/>
        <v>0</v>
      </c>
      <c r="BH87" s="624">
        <f t="shared" si="147"/>
        <v>37.5</v>
      </c>
      <c r="BI87" s="624" t="b">
        <f t="shared" si="148"/>
        <v>0</v>
      </c>
      <c r="BJ87" s="624" t="b">
        <f t="shared" si="149"/>
        <v>0</v>
      </c>
      <c r="BK87" s="624" t="b">
        <f t="shared" si="150"/>
        <v>0</v>
      </c>
      <c r="BL87" s="624" t="b">
        <f t="shared" si="151"/>
        <v>0</v>
      </c>
      <c r="BM87" s="624" t="b">
        <f t="shared" si="152"/>
        <v>0</v>
      </c>
      <c r="BN87" s="624" t="b">
        <f t="shared" si="153"/>
        <v>0</v>
      </c>
      <c r="BO87" s="624" t="b">
        <f t="shared" si="154"/>
        <v>0</v>
      </c>
      <c r="BP87" s="624" t="b">
        <f t="shared" si="155"/>
        <v>0</v>
      </c>
      <c r="BQ87" s="624" t="b">
        <f t="shared" si="156"/>
        <v>0</v>
      </c>
    </row>
    <row r="88" spans="1:70">
      <c r="A88" s="1087"/>
      <c r="B88" s="872"/>
      <c r="C88" s="872"/>
      <c r="D88" s="645"/>
      <c r="E88" s="645"/>
      <c r="F88" s="644"/>
      <c r="G88" s="644"/>
      <c r="H88" s="644"/>
      <c r="I88" s="635"/>
      <c r="J88" s="644">
        <f>IF(F88&lt;=1966,'Założenia,wskaźniki, listy'!$H$4,IF(F88&gt;1966,IF(F88&lt;=1985,'Założenia,wskaźniki, listy'!$H$5,IF(F88&gt;1985,IF(F88&lt;=1992,'Założenia,wskaźniki, listy'!$H$6,IF(F88&gt;1992,IF(F88&lt;=1996,'Założenia,wskaźniki, listy'!$H$7,IF(F88&gt;1996,IF(F88&lt;=2015,'Założenia,wskaźniki, listy'!$H$8)))))))))</f>
        <v>290</v>
      </c>
      <c r="K88" s="872"/>
      <c r="L88" s="644"/>
      <c r="M88" s="644"/>
      <c r="N88" s="644"/>
      <c r="O88" s="637">
        <f t="shared" si="134"/>
        <v>0</v>
      </c>
      <c r="P88" s="646">
        <f>IF(K88="kompletna",J88*G88*0.0036*'Założenia,wskaźniki, listy'!$P$9,IF(K88="częściowa",J88*G88*0.0036*'Założenia,wskaźniki, listy'!$P$10,IF(K88="brak",J88*G88*0.0036*'Założenia,wskaźniki, listy'!$P$11,0)))</f>
        <v>0</v>
      </c>
      <c r="Q88" s="638">
        <f>H88*'Założenia,wskaźniki, listy'!$L$15</f>
        <v>0</v>
      </c>
      <c r="R88" s="635">
        <f>IF(L88="węgiel",'Mieszkalne - baza'!M88*'Założenia,wskaźniki, listy'!$B$4,IF(L88="gaz",'Mieszkalne - baza'!M88*'Założenia,wskaźniki, listy'!$B$5,IF(L88="drewno",'Mieszkalne - baza'!M88*'Założenia,wskaźniki, listy'!$B$6,IF(L88="pelet",'Mieszkalne - baza'!M88*'Założenia,wskaźniki, listy'!$B$7,IF(L88="olej opałowy",'Mieszkalne - baza'!M88*'Założenia,wskaźniki, listy'!$B$8,IF(L88="sieć ciepłownicza",0,0))))))</f>
        <v>0</v>
      </c>
      <c r="S88" s="1085"/>
      <c r="T88" s="639">
        <f>IF(L88="węgiel",R88*'Założenia,wskaźniki, listy'!$C$44,IF(L88="gaz",R88*'Założenia,wskaźniki, listy'!$D$44,IF(L88="drewno",R88*'Założenia,wskaźniki, listy'!$E$44,IF(L88="pelet",R88*'Założenia,wskaźniki, listy'!$F$44,IF(L88="olej opałowy",R88*'Założenia,wskaźniki, listy'!$G$44,IF(L88="sieć ciepłownicza",0,IF(L88="prąd",0,0)))))))</f>
        <v>0</v>
      </c>
      <c r="U88" s="639">
        <f>IF(L88="węgiel",R88*'Założenia,wskaźniki, listy'!$C$45,IF(L88="gaz",R88*'Założenia,wskaźniki, listy'!$D$45,IF(L88="drewno",R88*'Założenia,wskaźniki, listy'!$E$45,IF(L88="pelet",R88*'Założenia,wskaźniki, listy'!$F$45,IF(L88="olej opałowy",R88*'Założenia,wskaźniki, listy'!$G$45,IF(L88="sieć ciepłownicza",0,IF(L88="prąd",0,0)))))))</f>
        <v>0</v>
      </c>
      <c r="V88" s="639">
        <f>IF(L88="węgiel",R88*'Założenia,wskaźniki, listy'!$C$46,IF(L88="gaz",R88*'Założenia,wskaźniki, listy'!$D$46,IF(L88="drewno",R88*'Założenia,wskaźniki, listy'!$E$46,IF(L88="pelet",R88*'Założenia,wskaźniki, listy'!$F$46,IF(L88="olej opałowy",R88*'Założenia,wskaźniki, listy'!$G$46,IF(L88="sieć ciepłownicza",R88*'Założenia,wskaźniki, listy'!$H$46,IF(L88="prąd",R88*'Założenia,wskaźniki, listy'!$I$46,0)))))))</f>
        <v>0</v>
      </c>
      <c r="W88" s="639">
        <f>IF(L88="węgiel",R88*'Założenia,wskaźniki, listy'!$C$47,IF(L88="gaz",R88*'Założenia,wskaźniki, listy'!$D$47,IF(L88="drewno",R88*'Założenia,wskaźniki, listy'!$E$47,IF(L88="pelet",R88*'Założenia,wskaźniki, listy'!$F$47,IF(L88="olej opałowy",R88*'Założenia,wskaźniki, listy'!$G$47,IF(L88="sieć ciepłownicza",0,IF(L88="prąd",0,0)))))))</f>
        <v>0</v>
      </c>
      <c r="X88" s="639">
        <f>IF(L88="węgiel",R88*'Założenia,wskaźniki, listy'!$C$48, IF(L88="gaz",R88*'Założenia,wskaźniki, listy'!$D$48,IF(L88="drewno",R88*'Założenia,wskaźniki, listy'!$E$48,IF(L88="pelet",R88*'Założenia,wskaźniki, listy'!$F$48,IF(L88="olej opałowy",R88*'Założenia,wskaźniki, listy'!$G$48,IF(L88="sieć ciepłownicza",0,IF(L88="prąd",0,0)))))))</f>
        <v>0</v>
      </c>
      <c r="Y88" s="639">
        <f>IF(L88="węgiel",R88*'Założenia,wskaźniki, listy'!$C$49, IF(L88="gaz",R88*'Założenia,wskaźniki, listy'!$D$49, IF(L88="drewno",R88*'Założenia,wskaźniki, listy'!$E$49,IF(L88="pelet",R88*'Założenia,wskaźniki, listy'!$F$49,IF(L88="olej opałowy",R88*'Założenia,wskaźniki, listy'!$G$49,IF(L88="sieć ciepłownicza",0,IF(L88="prąd",0,0)))))))</f>
        <v>0</v>
      </c>
      <c r="Z88" s="639">
        <f>IF(L88="węgiel",R88*'Założenia,wskaźniki, listy'!$C$50,IF(L88="gaz",R88*'Założenia,wskaźniki, listy'!$D$50, IF(L88="drewno",R88*'Założenia,wskaźniki, listy'!$E$50,IF(L88="pelet",R88*'Założenia,wskaźniki, listy'!$F$50,IF(L88="pelet",R88*'Założenia,wskaźniki, listy'!$F$50,IF(L88="olej opałowy",R88*'Założenia,wskaźniki, listy'!$G$50,IF(L88="sieć ciepłownicza",0,IF(L88="prąd",0,0))))))))</f>
        <v>0</v>
      </c>
      <c r="AA88" s="639">
        <f>IF(N88="węgiel",Q88*'Założenia,wskaźniki, listy'!$C$44,IF(N88="gaz",Q88*'Założenia,wskaźniki, listy'!$D$44,IF(N88="drewno",Q88*'Założenia,wskaźniki, listy'!$E$44,IF(N88="pelet",Q88*'Założenia,wskaźniki, listy'!$G$44,IF(N88="olej opałowy",Q88*'Założenia,wskaźniki, listy'!$G$44,IF(N88="sieć ciepłownicza",0,IF(N88="prąd",0,0)))))))</f>
        <v>0</v>
      </c>
      <c r="AB88" s="639">
        <f>IF(N88="węgiel",Q88*'Założenia,wskaźniki, listy'!$C$45,IF(N88="gaz",Q88*'Założenia,wskaźniki, listy'!$D$45,IF(N88="drewno",Q88*'Założenia,wskaźniki, listy'!$E$45,IF(N88="pelet",Q88*'Założenia,wskaźniki, listy'!$G$45,IF(N88="olej opałowy",Q88*'Założenia,wskaźniki, listy'!$G$45,IF(N88="sieć ciepłownicza",0,IF(N88="prąd",0,0)))))))</f>
        <v>0</v>
      </c>
      <c r="AC88" s="639">
        <f>IF(N88="węgiel",Q88*'Założenia,wskaźniki, listy'!$C$46,IF(N88="gaz",Q88*'Założenia,wskaźniki, listy'!$D$46,IF(N88="drewno",Q88*'Założenia,wskaźniki, listy'!$E$46,IF(N88="pelet",Q88*'Założenia,wskaźniki, listy'!$G$46,IF(N88="olej opałowy",Q88*'Założenia,wskaźniki, listy'!$G$46,IF(N88="sieć ciepłownicza",0,IF(N88="prąd",0,0)))))))</f>
        <v>0</v>
      </c>
      <c r="AD88" s="639">
        <f>IF(N88="węgiel",Q88*'Założenia,wskaźniki, listy'!$C$47,IF(N88="gaz",Q88*'Założenia,wskaźniki, listy'!$D$47,IF(N88="drewno",Q88*'Założenia,wskaźniki, listy'!$E$47,IF(N88="pelet",Q88*'Założenia,wskaźniki, listy'!$G$47,IF(N88="olej opałowy",Q88*'Założenia,wskaźniki, listy'!$G$47,IF(N88="sieć ciepłownicza",0,IF(N88="prąd",0,0)))))))</f>
        <v>0</v>
      </c>
      <c r="AE88" s="639">
        <f>IF(N88="węgiel",Q88*'Założenia,wskaźniki, listy'!$C$48,IF(N88="gaz",Q88*'Założenia,wskaźniki, listy'!$D$48,IF(N88="drewno",Q88*'Założenia,wskaźniki, listy'!$E$48,IF(N88="pelet",Q88*'Założenia,wskaźniki, listy'!$G$48,IF(N88="olej opałowy",Q88*'Założenia,wskaźniki, listy'!$G$48,IF(N88="sieć ciepłownicza",0,IF(N88="prąd",0,0)))))))</f>
        <v>0</v>
      </c>
      <c r="AF88" s="639">
        <f>IF(N88="węgiel",Q88*'Założenia,wskaźniki, listy'!$C$49,IF(N88="gaz",Q88*'Założenia,wskaźniki, listy'!$D$49,IF(N88="drewno",Q88*'Założenia,wskaźniki, listy'!$E$49,IF(N88="pelet",Q88*'Założenia,wskaźniki, listy'!$G$49,IF(N88="olej opałowy",Q88*'Założenia,wskaźniki, listy'!$G$49,IF(N88="sieć ciepłownicza",0,IF(N88="prąd",0,0)))))))</f>
        <v>0</v>
      </c>
      <c r="AG88" s="639">
        <f>IF(N88="węgiel",Q88*'Założenia,wskaźniki, listy'!$C$50,IF(N88="gaz",Q88*'Założenia,wskaźniki, listy'!$D$50,IF(N88="drewno",Q88*'Założenia,wskaźniki, listy'!$E$50,IF(N88="pelet",Q88*'Założenia,wskaźniki, listy'!$G$50,IF(N88="olej opałowy",Q88*'Założenia,wskaźniki, listy'!$G$50,IF(N88="sieć ciepłownicza",0,IF(N88="prąd",0,0)))))))</f>
        <v>0</v>
      </c>
      <c r="AH88" s="640">
        <f>IF(L88="węgiel",(P88+R88)/2*'Założenia,wskaźniki, listy'!$C$4,IF(L88="gaz",(P88+R88)/2*'Założenia,wskaźniki, listy'!$C$5,IF(L88="drewno",(P88+R88)/2*'Założenia,wskaźniki, listy'!$C$6,IF(L88="pelet",(P88+R88)/2*'Założenia,wskaźniki, listy'!$C$7,IF(L88="olej opałowy",(P88+R88)/2*'Założenia,wskaźniki, listy'!$C$8,IF(L88="sieć ciepłownicza",(P88+R88)/2*'Założenia,wskaźniki, listy'!$C$9,IF(L88="sieć ciepłownicza",(P88+R88)/2*'Założenia,wskaźniki, listy'!$C$10,)))))))</f>
        <v>0</v>
      </c>
      <c r="AI88" s="640">
        <f>IF(N88="węgiel",Q88*'Założenia,wskaźniki, listy'!$C$4,IF(N88="gaz",Q88*'Założenia,wskaźniki, listy'!$C$5,IF(N88="drewno",Q88*'Założenia,wskaźniki, listy'!$C$6,IF(N88="pelet",Q88*'Założenia,wskaźniki, listy'!$C$7,IF(N88="olej opałowy",Q88*'Założenia,wskaźniki, listy'!$C$8,IF(N88="sieć ciepłownicza",Q88*'Założenia,wskaźniki, listy'!$C$9,IF(N88="sieć ciepłownicza",Q88*'Założenia,wskaźniki, listy'!$C$10,0)))))))</f>
        <v>0</v>
      </c>
      <c r="AJ88" s="640">
        <f>S88*'Założenia,wskaźniki, listy'!$B$64*1000</f>
        <v>0</v>
      </c>
      <c r="AK88" s="640">
        <f>(H88+I88)*'Założenia,wskaźniki, listy'!$D$64*12</f>
        <v>0</v>
      </c>
      <c r="AL88" s="640">
        <f>AK88*'Założenia,wskaźniki, listy'!$F$64</f>
        <v>0</v>
      </c>
      <c r="AM88" s="639">
        <f t="shared" si="128"/>
        <v>0</v>
      </c>
      <c r="AN88" s="639">
        <f t="shared" si="129"/>
        <v>0</v>
      </c>
      <c r="AO88" s="639">
        <f>V88+AC88+S88*'Założenia,wskaźniki, listy'!$J$46</f>
        <v>0</v>
      </c>
      <c r="AP88" s="639">
        <f t="shared" si="130"/>
        <v>0</v>
      </c>
      <c r="AQ88" s="639">
        <f t="shared" si="131"/>
        <v>0</v>
      </c>
      <c r="AR88" s="639">
        <f t="shared" si="132"/>
        <v>0</v>
      </c>
      <c r="AS88" s="639">
        <f t="shared" si="133"/>
        <v>0</v>
      </c>
      <c r="AT88" s="647"/>
      <c r="AU88" s="647"/>
      <c r="AV88" s="624">
        <f t="shared" si="135"/>
        <v>0</v>
      </c>
      <c r="AW88" s="624" t="b">
        <f t="shared" si="136"/>
        <v>0</v>
      </c>
      <c r="AX88" s="624" t="b">
        <f t="shared" si="137"/>
        <v>0</v>
      </c>
      <c r="AY88" s="624" t="b">
        <f t="shared" si="138"/>
        <v>0</v>
      </c>
      <c r="AZ88" s="624" t="b">
        <f t="shared" si="139"/>
        <v>0</v>
      </c>
      <c r="BA88" s="624" t="b">
        <f t="shared" si="140"/>
        <v>0</v>
      </c>
      <c r="BB88" s="624" t="b">
        <f t="shared" si="141"/>
        <v>0</v>
      </c>
      <c r="BC88" s="624" t="b">
        <f t="shared" si="142"/>
        <v>0</v>
      </c>
      <c r="BD88" s="624" t="b">
        <f t="shared" si="143"/>
        <v>0</v>
      </c>
      <c r="BE88" s="624" t="b">
        <f t="shared" si="144"/>
        <v>0</v>
      </c>
      <c r="BF88" s="624" t="b">
        <f t="shared" si="145"/>
        <v>0</v>
      </c>
      <c r="BG88" s="624" t="b">
        <f t="shared" si="146"/>
        <v>0</v>
      </c>
      <c r="BH88" s="624" t="b">
        <f t="shared" si="147"/>
        <v>0</v>
      </c>
      <c r="BI88" s="624" t="b">
        <f t="shared" si="148"/>
        <v>0</v>
      </c>
      <c r="BJ88" s="624" t="b">
        <f t="shared" si="149"/>
        <v>0</v>
      </c>
      <c r="BK88" s="624" t="b">
        <f t="shared" si="150"/>
        <v>0</v>
      </c>
      <c r="BL88" s="624" t="b">
        <f t="shared" si="151"/>
        <v>0</v>
      </c>
      <c r="BM88" s="624" t="b">
        <f t="shared" si="152"/>
        <v>0</v>
      </c>
      <c r="BN88" s="624" t="b">
        <f t="shared" si="153"/>
        <v>0</v>
      </c>
      <c r="BO88" s="624" t="b">
        <f t="shared" si="154"/>
        <v>0</v>
      </c>
      <c r="BP88" s="624" t="b">
        <f t="shared" si="155"/>
        <v>0</v>
      </c>
      <c r="BQ88" s="624" t="b">
        <f t="shared" si="156"/>
        <v>0</v>
      </c>
    </row>
    <row r="89" spans="1:70">
      <c r="A89" s="1086">
        <v>43</v>
      </c>
      <c r="B89" s="872" t="s">
        <v>21</v>
      </c>
      <c r="C89" s="873" t="s">
        <v>621</v>
      </c>
      <c r="D89" s="645" t="s">
        <v>628</v>
      </c>
      <c r="E89" s="645">
        <v>27</v>
      </c>
      <c r="F89" s="644">
        <v>1955</v>
      </c>
      <c r="G89" s="644">
        <v>80</v>
      </c>
      <c r="H89" s="644"/>
      <c r="I89" s="635"/>
      <c r="J89" s="644">
        <f>IF(F89&lt;=1966,'Założenia,wskaźniki, listy'!$H$4,IF(F89&gt;1966,IF(F89&lt;=1985,'Założenia,wskaźniki, listy'!$H$5,IF(F89&gt;1985,IF(F89&lt;=1992,'Założenia,wskaźniki, listy'!$H$6,IF(F89&gt;1992,IF(F89&lt;=1996,'Założenia,wskaźniki, listy'!$H$7,IF(F89&gt;1996,IF(F89&lt;=2015,'Założenia,wskaźniki, listy'!$H$8)))))))))</f>
        <v>290</v>
      </c>
      <c r="K89" s="864" t="s">
        <v>32</v>
      </c>
      <c r="L89" s="644" t="s">
        <v>8</v>
      </c>
      <c r="M89" s="644">
        <v>2</v>
      </c>
      <c r="N89" s="644"/>
      <c r="O89" s="637">
        <f t="shared" si="134"/>
        <v>47.665999999999997</v>
      </c>
      <c r="P89" s="646">
        <f>IF(K89="kompletna",J89*G89*0.0036*'Założenia,wskaźniki, listy'!$P$9,IF(K89="częściowa",J89*G89*0.0036*'Założenia,wskaźniki, listy'!$P$10,IF(K89="brak",J89*G89*0.0036*'Założenia,wskaźniki, listy'!$P$11,0)))</f>
        <v>50.111999999999995</v>
      </c>
      <c r="Q89" s="638">
        <f>H89*'Założenia,wskaźniki, listy'!$L$15</f>
        <v>0</v>
      </c>
      <c r="R89" s="635">
        <f>IF(L89="węgiel",'Mieszkalne - baza'!M89*'Założenia,wskaźniki, listy'!$B$4,IF(L89="gaz",'Mieszkalne - baza'!M89*'Założenia,wskaźniki, listy'!$B$5,IF(L89="drewno",'Mieszkalne - baza'!M89*'Założenia,wskaźniki, listy'!$B$6,IF(L89="pelet",'Mieszkalne - baza'!M89*'Założenia,wskaźniki, listy'!$B$7,IF(L89="olej opałowy",'Mieszkalne - baza'!M89*'Założenia,wskaźniki, listy'!$B$8,IF(L89="sieć ciepłownicza",0,0))))))</f>
        <v>45.22</v>
      </c>
      <c r="S89" s="1084">
        <v>1.7484000000000002</v>
      </c>
      <c r="T89" s="639">
        <f>IF(L89="węgiel",R89*'Założenia,wskaźniki, listy'!$C$44,IF(L89="gaz",R89*'Założenia,wskaźniki, listy'!$D$44,IF(L89="drewno",R89*'Założenia,wskaźniki, listy'!$E$44,IF(L89="pelet",R89*'Założenia,wskaźniki, listy'!$F$44,IF(L89="olej opałowy",R89*'Założenia,wskaźniki, listy'!$G$44,IF(L89="sieć ciepłownicza",0,IF(L89="prąd",0,0)))))))</f>
        <v>1.01745E-2</v>
      </c>
      <c r="U89" s="639">
        <f>IF(L89="węgiel",R89*'Założenia,wskaźniki, listy'!$C$45,IF(L89="gaz",R89*'Założenia,wskaźniki, listy'!$D$45,IF(L89="drewno",R89*'Założenia,wskaźniki, listy'!$E$45,IF(L89="pelet",R89*'Założenia,wskaźniki, listy'!$F$45,IF(L89="olej opałowy",R89*'Założenia,wskaźniki, listy'!$G$45,IF(L89="sieć ciepłownicza",0,IF(L89="prąd",0,0)))))))</f>
        <v>9.0892200000000003E-3</v>
      </c>
      <c r="V89" s="639">
        <f>IF(L89="węgiel",R89*'Założenia,wskaźniki, listy'!$C$46,IF(L89="gaz",R89*'Założenia,wskaźniki, listy'!$D$46,IF(L89="drewno",R89*'Założenia,wskaźniki, listy'!$E$46,IF(L89="pelet",R89*'Założenia,wskaźniki, listy'!$F$46,IF(L89="olej opałowy",R89*'Założenia,wskaźniki, listy'!$G$46,IF(L89="sieć ciepłownicza",R89*'Założenia,wskaźniki, listy'!$H$46,IF(L89="prąd",R89*'Założenia,wskaźniki, listy'!$I$46,0)))))))</f>
        <v>4.2389227999999992</v>
      </c>
      <c r="W89" s="639">
        <f>IF(L89="węgiel",R89*'Założenia,wskaźniki, listy'!$C$47,IF(L89="gaz",R89*'Założenia,wskaźniki, listy'!$D$47,IF(L89="drewno",R89*'Założenia,wskaźniki, listy'!$E$47,IF(L89="pelet",R89*'Założenia,wskaźniki, listy'!$F$47,IF(L89="olej opałowy",R89*'Założenia,wskaźniki, listy'!$G$47,IF(L89="sieć ciepłownicza",0,IF(L89="prąd",0,0)))))))</f>
        <v>1.22094E-5</v>
      </c>
      <c r="X89" s="639">
        <f>IF(L89="węgiel",R89*'Założenia,wskaźniki, listy'!$C$48, IF(L89="gaz",R89*'Założenia,wskaźniki, listy'!$D$48,IF(L89="drewno",R89*'Założenia,wskaźniki, listy'!$E$48,IF(L89="pelet",R89*'Założenia,wskaźniki, listy'!$F$48,IF(L89="olej opałowy",R89*'Założenia,wskaźniki, listy'!$G$48,IF(L89="sieć ciepłownicza",0,IF(L89="prąd",0,0)))))))</f>
        <v>4.0697999999999998E-2</v>
      </c>
      <c r="Y89" s="639">
        <f>IF(L89="węgiel",R89*'Założenia,wskaźniki, listy'!$C$49, IF(L89="gaz",R89*'Założenia,wskaźniki, listy'!$D$49, IF(L89="drewno",R89*'Założenia,wskaźniki, listy'!$E$49,IF(L89="pelet",R89*'Założenia,wskaźniki, listy'!$F$49,IF(L89="olej opałowy",R89*'Założenia,wskaźniki, listy'!$G$49,IF(L89="sieć ciepłownicza",0,IF(L89="prąd",0,0)))))))</f>
        <v>7.1447599999999991E-3</v>
      </c>
      <c r="Z89" s="639">
        <f>IF(L89="węgiel",R89*'Założenia,wskaźniki, listy'!$C$50,IF(L89="gaz",R89*'Założenia,wskaźniki, listy'!$D$50, IF(L89="drewno",R89*'Założenia,wskaźniki, listy'!$E$50,IF(L89="pelet",R89*'Założenia,wskaźniki, listy'!$F$50,IF(L89="pelet",R89*'Założenia,wskaźniki, listy'!$F$50,IF(L89="olej opałowy",R89*'Założenia,wskaźniki, listy'!$G$50,IF(L89="sieć ciepłownicza",0,IF(L89="prąd",0,0))))))))</f>
        <v>9.0965578900312913E-2</v>
      </c>
      <c r="AA89" s="639">
        <f>IF(N89="węgiel",Q89*'Założenia,wskaźniki, listy'!$C$44,IF(N89="gaz",Q89*'Założenia,wskaźniki, listy'!$D$44,IF(N89="drewno",Q89*'Założenia,wskaźniki, listy'!$E$44,IF(N89="pelet",Q89*'Założenia,wskaźniki, listy'!$G$44,IF(N89="olej opałowy",Q89*'Założenia,wskaźniki, listy'!$G$44,IF(N89="sieć ciepłownicza",0,IF(N89="prąd",0,0)))))))</f>
        <v>0</v>
      </c>
      <c r="AB89" s="639">
        <f>IF(N89="węgiel",Q89*'Założenia,wskaźniki, listy'!$C$45,IF(N89="gaz",Q89*'Założenia,wskaźniki, listy'!$D$45,IF(N89="drewno",Q89*'Założenia,wskaźniki, listy'!$E$45,IF(N89="pelet",Q89*'Założenia,wskaźniki, listy'!$G$45,IF(N89="olej opałowy",Q89*'Założenia,wskaźniki, listy'!$G$45,IF(N89="sieć ciepłownicza",0,IF(N89="prąd",0,0)))))))</f>
        <v>0</v>
      </c>
      <c r="AC89" s="639">
        <f>IF(N89="węgiel",Q89*'Założenia,wskaźniki, listy'!$C$46,IF(N89="gaz",Q89*'Założenia,wskaźniki, listy'!$D$46,IF(N89="drewno",Q89*'Założenia,wskaźniki, listy'!$E$46,IF(N89="pelet",Q89*'Założenia,wskaźniki, listy'!$G$46,IF(N89="olej opałowy",Q89*'Założenia,wskaźniki, listy'!$G$46,IF(N89="sieć ciepłownicza",0,IF(N89="prąd",0,0)))))))</f>
        <v>0</v>
      </c>
      <c r="AD89" s="639">
        <f>IF(N89="węgiel",Q89*'Założenia,wskaźniki, listy'!$C$47,IF(N89="gaz",Q89*'Założenia,wskaźniki, listy'!$D$47,IF(N89="drewno",Q89*'Założenia,wskaźniki, listy'!$E$47,IF(N89="pelet",Q89*'Założenia,wskaźniki, listy'!$G$47,IF(N89="olej opałowy",Q89*'Założenia,wskaźniki, listy'!$G$47,IF(N89="sieć ciepłownicza",0,IF(N89="prąd",0,0)))))))</f>
        <v>0</v>
      </c>
      <c r="AE89" s="639">
        <f>IF(N89="węgiel",Q89*'Założenia,wskaźniki, listy'!$C$48,IF(N89="gaz",Q89*'Założenia,wskaźniki, listy'!$D$48,IF(N89="drewno",Q89*'Założenia,wskaźniki, listy'!$E$48,IF(N89="pelet",Q89*'Założenia,wskaźniki, listy'!$G$48,IF(N89="olej opałowy",Q89*'Założenia,wskaźniki, listy'!$G$48,IF(N89="sieć ciepłownicza",0,IF(N89="prąd",0,0)))))))</f>
        <v>0</v>
      </c>
      <c r="AF89" s="639">
        <f>IF(N89="węgiel",Q89*'Założenia,wskaźniki, listy'!$C$49,IF(N89="gaz",Q89*'Założenia,wskaźniki, listy'!$D$49,IF(N89="drewno",Q89*'Założenia,wskaźniki, listy'!$E$49,IF(N89="pelet",Q89*'Założenia,wskaźniki, listy'!$G$49,IF(N89="olej opałowy",Q89*'Założenia,wskaźniki, listy'!$G$49,IF(N89="sieć ciepłownicza",0,IF(N89="prąd",0,0)))))))</f>
        <v>0</v>
      </c>
      <c r="AG89" s="639">
        <f>IF(N89="węgiel",Q89*'Założenia,wskaźniki, listy'!$C$50,IF(N89="gaz",Q89*'Założenia,wskaźniki, listy'!$D$50,IF(N89="drewno",Q89*'Założenia,wskaźniki, listy'!$E$50,IF(N89="pelet",Q89*'Założenia,wskaźniki, listy'!$G$50,IF(N89="olej opałowy",Q89*'Założenia,wskaźniki, listy'!$G$50,IF(N89="sieć ciepłownicza",0,IF(N89="prąd",0,0)))))))</f>
        <v>0</v>
      </c>
      <c r="AH89" s="640">
        <f>IF(L89="węgiel",(P89+R89)/2*'Założenia,wskaźniki, listy'!$C$4,IF(L89="gaz",(P89+R89)/2*'Założenia,wskaźniki, listy'!$C$5,IF(L89="drewno",(P89+R89)/2*'Założenia,wskaźniki, listy'!$C$6,IF(L89="pelet",(P89+R89)/2*'Założenia,wskaźniki, listy'!$C$7,IF(L89="olej opałowy",(P89+R89)/2*'Założenia,wskaźniki, listy'!$C$8,IF(L89="sieć ciepłownicza",(P89+R89)/2*'Założenia,wskaźniki, listy'!$C$9,IF(L89="sieć ciepłownicza",(P89+R89)/2*'Założenia,wskaźniki, listy'!$C$10,)))))))</f>
        <v>1954.3059999999998</v>
      </c>
      <c r="AI89" s="640">
        <f>IF(N89="węgiel",Q89*'Założenia,wskaźniki, listy'!$C$4,IF(N89="gaz",Q89*'Założenia,wskaźniki, listy'!$C$5,IF(N89="drewno",Q89*'Założenia,wskaźniki, listy'!$C$6,IF(N89="pelet",Q89*'Założenia,wskaźniki, listy'!$C$7,IF(N89="olej opałowy",Q89*'Założenia,wskaźniki, listy'!$C$8,IF(N89="sieć ciepłownicza",Q89*'Założenia,wskaźniki, listy'!$C$9,IF(N89="sieć ciepłownicza",Q89*'Założenia,wskaźniki, listy'!$C$10,0)))))))</f>
        <v>0</v>
      </c>
      <c r="AJ89" s="640">
        <f>S89*'Założenia,wskaźniki, listy'!$B$64*1000</f>
        <v>1241.364</v>
      </c>
      <c r="AK89" s="640">
        <f>(H89+I89)*'Założenia,wskaźniki, listy'!$D$64*12</f>
        <v>0</v>
      </c>
      <c r="AL89" s="640">
        <f>AK89*'Założenia,wskaźniki, listy'!$F$64</f>
        <v>0</v>
      </c>
      <c r="AM89" s="639">
        <f t="shared" si="128"/>
        <v>1.01745E-2</v>
      </c>
      <c r="AN89" s="639">
        <f t="shared" si="129"/>
        <v>9.0892200000000003E-3</v>
      </c>
      <c r="AO89" s="639">
        <f>V89+AC89+S89*'Założenia,wskaźniki, listy'!$J$46</f>
        <v>5.6927173999999994</v>
      </c>
      <c r="AP89" s="639">
        <f t="shared" si="130"/>
        <v>1.22094E-5</v>
      </c>
      <c r="AQ89" s="639">
        <f t="shared" si="131"/>
        <v>4.0697999999999998E-2</v>
      </c>
      <c r="AR89" s="639">
        <f t="shared" si="132"/>
        <v>7.1447599999999991E-3</v>
      </c>
      <c r="AS89" s="639">
        <f t="shared" si="133"/>
        <v>9.0965578900312913E-2</v>
      </c>
      <c r="AT89" s="647"/>
      <c r="AU89" s="647"/>
      <c r="AV89" s="624">
        <f t="shared" si="135"/>
        <v>80</v>
      </c>
      <c r="AW89" s="624">
        <f t="shared" si="136"/>
        <v>80</v>
      </c>
      <c r="AX89" s="624" t="b">
        <f t="shared" si="137"/>
        <v>0</v>
      </c>
      <c r="AY89" s="624" t="b">
        <f t="shared" si="138"/>
        <v>0</v>
      </c>
      <c r="AZ89" s="624" t="b">
        <f t="shared" si="139"/>
        <v>0</v>
      </c>
      <c r="BA89" s="624" t="b">
        <f t="shared" si="140"/>
        <v>0</v>
      </c>
      <c r="BB89" s="624" t="b">
        <f t="shared" si="141"/>
        <v>0</v>
      </c>
      <c r="BC89" s="624" t="b">
        <f t="shared" si="142"/>
        <v>0</v>
      </c>
      <c r="BD89" s="624" t="b">
        <f t="shared" si="143"/>
        <v>0</v>
      </c>
      <c r="BE89" s="624" t="b">
        <f t="shared" si="144"/>
        <v>0</v>
      </c>
      <c r="BF89" s="624">
        <f t="shared" si="145"/>
        <v>45.22</v>
      </c>
      <c r="BG89" s="624" t="b">
        <f t="shared" si="146"/>
        <v>0</v>
      </c>
      <c r="BH89" s="624" t="b">
        <f t="shared" si="147"/>
        <v>0</v>
      </c>
      <c r="BI89" s="624" t="b">
        <f t="shared" si="148"/>
        <v>0</v>
      </c>
      <c r="BJ89" s="624" t="b">
        <f t="shared" si="149"/>
        <v>0</v>
      </c>
      <c r="BK89" s="624" t="b">
        <f t="shared" si="150"/>
        <v>0</v>
      </c>
      <c r="BL89" s="624" t="b">
        <f t="shared" si="151"/>
        <v>0</v>
      </c>
      <c r="BM89" s="624" t="b">
        <f t="shared" si="152"/>
        <v>0</v>
      </c>
      <c r="BN89" s="624" t="b">
        <f t="shared" si="153"/>
        <v>0</v>
      </c>
      <c r="BO89" s="624" t="b">
        <f t="shared" si="154"/>
        <v>0</v>
      </c>
      <c r="BP89" s="624" t="b">
        <f t="shared" si="155"/>
        <v>0</v>
      </c>
      <c r="BQ89" s="624" t="b">
        <f t="shared" si="156"/>
        <v>0</v>
      </c>
    </row>
    <row r="90" spans="1:70">
      <c r="A90" s="1086"/>
      <c r="B90" s="872"/>
      <c r="C90" s="872"/>
      <c r="D90" s="645"/>
      <c r="E90" s="645"/>
      <c r="F90" s="644"/>
      <c r="G90" s="644"/>
      <c r="H90" s="644"/>
      <c r="I90" s="635"/>
      <c r="J90" s="644">
        <f>IF(F90&lt;=1966,'Założenia,wskaźniki, listy'!$H$4,IF(F90&gt;1966,IF(F90&lt;=1985,'Założenia,wskaźniki, listy'!$H$5,IF(F90&gt;1985,IF(F90&lt;=1992,'Założenia,wskaźniki, listy'!$H$6,IF(F90&gt;1992,IF(F90&lt;=1996,'Założenia,wskaźniki, listy'!$H$7,IF(F90&gt;1996,IF(F90&lt;=2015,'Założenia,wskaźniki, listy'!$H$8)))))))))</f>
        <v>290</v>
      </c>
      <c r="K90" s="872"/>
      <c r="L90" s="644" t="s">
        <v>79</v>
      </c>
      <c r="M90" s="644">
        <v>0.5</v>
      </c>
      <c r="N90" s="644"/>
      <c r="O90" s="637">
        <f t="shared" ref="O90" si="157">IF(P90&gt;0,(Q90+R90+P90)/2,Q90+R90)</f>
        <v>7.5</v>
      </c>
      <c r="P90" s="646">
        <f>IF(K90="kompletna",J90*G90*0.0036*'Założenia,wskaźniki, listy'!$P$9,IF(K90="częściowa",J90*G90*0.0036*'Założenia,wskaźniki, listy'!$P$10,IF(K90="brak",J90*G90*0.0036*'Założenia,wskaźniki, listy'!$P$11,0)))</f>
        <v>0</v>
      </c>
      <c r="Q90" s="638">
        <f>H90*'Założenia,wskaźniki, listy'!$L$15</f>
        <v>0</v>
      </c>
      <c r="R90" s="635">
        <f>IF(L90="węgiel",'Mieszkalne - baza'!M90*'Założenia,wskaźniki, listy'!$B$4,IF(L90="gaz",'Mieszkalne - baza'!M90*'Założenia,wskaźniki, listy'!$B$5,IF(L90="drewno",'Mieszkalne - baza'!M90*'Założenia,wskaźniki, listy'!$B$6,IF(L90="pelet",'Mieszkalne - baza'!M90*'Założenia,wskaźniki, listy'!$B$7,IF(L90="olej opałowy",'Mieszkalne - baza'!M90*'Założenia,wskaźniki, listy'!$B$8,IF(L90="sieć ciepłownicza",0,0))))))</f>
        <v>7.5</v>
      </c>
      <c r="S90" s="1085"/>
      <c r="T90" s="639">
        <f>IF(L90="węgiel",R90*'Założenia,wskaźniki, listy'!$C$44,IF(L90="gaz",R90*'Założenia,wskaźniki, listy'!$D$44,IF(L90="drewno",R90*'Założenia,wskaźniki, listy'!$E$44,IF(L90="pelet",R90*'Założenia,wskaźniki, listy'!$F$44,IF(L90="olej opałowy",R90*'Założenia,wskaźniki, listy'!$G$44,IF(L90="sieć ciepłownicza",0,IF(L90="prąd",0,0)))))))</f>
        <v>3.5999999999999999E-3</v>
      </c>
      <c r="U90" s="639">
        <f>IF(L90="węgiel",R90*'Założenia,wskaźniki, listy'!$C$45,IF(L90="gaz",R90*'Założenia,wskaźniki, listy'!$D$45,IF(L90="drewno",R90*'Założenia,wskaźniki, listy'!$E$45,IF(L90="pelet",R90*'Założenia,wskaźniki, listy'!$F$45,IF(L90="olej opałowy",R90*'Założenia,wskaźniki, listy'!$G$45,IF(L90="sieć ciepłownicza",0,IF(L90="prąd",0,0)))))))</f>
        <v>3.5249999999999999E-3</v>
      </c>
      <c r="V90" s="639">
        <f>IF(L90="węgiel",R90*'Założenia,wskaźniki, listy'!$C$46,IF(L90="gaz",R90*'Założenia,wskaźniki, listy'!$D$46,IF(L90="drewno",R90*'Założenia,wskaźniki, listy'!$E$46,IF(L90="pelet",R90*'Założenia,wskaźniki, listy'!$F$46,IF(L90="olej opałowy",R90*'Założenia,wskaźniki, listy'!$G$46,IF(L90="sieć ciepłownicza",R90*'Założenia,wskaźniki, listy'!$H$46,IF(L90="prąd",R90*'Założenia,wskaźniki, listy'!$I$46,0)))))))</f>
        <v>0</v>
      </c>
      <c r="W90" s="639">
        <f>IF(L90="węgiel",R90*'Założenia,wskaźniki, listy'!$C$47,IF(L90="gaz",R90*'Założenia,wskaźniki, listy'!$D$47,IF(L90="drewno",R90*'Założenia,wskaźniki, listy'!$E$47,IF(L90="pelet",R90*'Założenia,wskaźniki, listy'!$F$47,IF(L90="olej opałowy",R90*'Założenia,wskaźniki, listy'!$G$47,IF(L90="sieć ciepłownicza",0,IF(L90="prąd",0,0)))))))</f>
        <v>9.075000000000001E-7</v>
      </c>
      <c r="X90" s="639">
        <f>IF(L90="węgiel",R90*'Założenia,wskaźniki, listy'!$C$48, IF(L90="gaz",R90*'Założenia,wskaźniki, listy'!$D$48,IF(L90="drewno",R90*'Założenia,wskaźniki, listy'!$E$48,IF(L90="pelet",R90*'Założenia,wskaźniki, listy'!$F$48,IF(L90="olej opałowy",R90*'Założenia,wskaźniki, listy'!$G$48,IF(L90="sieć ciepłownicza",0,IF(L90="prąd",0,0)))))))</f>
        <v>8.25E-5</v>
      </c>
      <c r="Y90" s="639">
        <f>IF(L90="węgiel",R90*'Założenia,wskaźniki, listy'!$C$49, IF(L90="gaz",R90*'Założenia,wskaźniki, listy'!$D$49, IF(L90="drewno",R90*'Założenia,wskaźniki, listy'!$E$49,IF(L90="pelet",R90*'Założenia,wskaźniki, listy'!$F$49,IF(L90="olej opałowy",R90*'Założenia,wskaźniki, listy'!$G$49,IF(L90="sieć ciepłownicza",0,IF(L90="prąd",0,0)))))))</f>
        <v>6.0000000000000006E-4</v>
      </c>
      <c r="Z90" s="639">
        <f>IF(L90="węgiel",R90*'Założenia,wskaźniki, listy'!$C$50,IF(L90="gaz",R90*'Założenia,wskaźniki, listy'!$D$50, IF(L90="drewno",R90*'Założenia,wskaźniki, listy'!$E$50,IF(L90="pelet",R90*'Założenia,wskaźniki, listy'!$F$50,IF(L90="pelet",R90*'Założenia,wskaźniki, listy'!$F$50,IF(L90="olej opałowy",R90*'Założenia,wskaźniki, listy'!$G$50,IF(L90="sieć ciepłownicza",0,IF(L90="prąd",0,0))))))))</f>
        <v>1.3454999999999999E-3</v>
      </c>
      <c r="AA90" s="639">
        <f>IF(N90="węgiel",Q90*'Założenia,wskaźniki, listy'!$C$44,IF(N90="gaz",Q90*'Założenia,wskaźniki, listy'!$D$44,IF(N90="drewno",Q90*'Założenia,wskaźniki, listy'!$E$44,IF(N90="pelet",Q90*'Założenia,wskaźniki, listy'!$G$44,IF(N90="olej opałowy",Q90*'Założenia,wskaźniki, listy'!$G$44,IF(N90="sieć ciepłownicza",0,IF(N90="prąd",0,0)))))))</f>
        <v>0</v>
      </c>
      <c r="AB90" s="639">
        <f>IF(N90="węgiel",Q90*'Założenia,wskaźniki, listy'!$C$45,IF(N90="gaz",Q90*'Założenia,wskaźniki, listy'!$D$45,IF(N90="drewno",Q90*'Założenia,wskaźniki, listy'!$E$45,IF(N90="pelet",Q90*'Założenia,wskaźniki, listy'!$G$45,IF(N90="olej opałowy",Q90*'Założenia,wskaźniki, listy'!$G$45,IF(N90="sieć ciepłownicza",0,IF(N90="prąd",0,0)))))))</f>
        <v>0</v>
      </c>
      <c r="AC90" s="639">
        <f>IF(N90="węgiel",Q90*'Założenia,wskaźniki, listy'!$C$46,IF(N90="gaz",Q90*'Założenia,wskaźniki, listy'!$D$46,IF(N90="drewno",Q90*'Założenia,wskaźniki, listy'!$E$46,IF(N90="pelet",Q90*'Założenia,wskaźniki, listy'!$G$46,IF(N90="olej opałowy",Q90*'Założenia,wskaźniki, listy'!$G$46,IF(N90="sieć ciepłownicza",0,IF(N90="prąd",0,0)))))))</f>
        <v>0</v>
      </c>
      <c r="AD90" s="639">
        <f>IF(N90="węgiel",Q90*'Założenia,wskaźniki, listy'!$C$47,IF(N90="gaz",Q90*'Założenia,wskaźniki, listy'!$D$47,IF(N90="drewno",Q90*'Założenia,wskaźniki, listy'!$E$47,IF(N90="pelet",Q90*'Założenia,wskaźniki, listy'!$G$47,IF(N90="olej opałowy",Q90*'Założenia,wskaźniki, listy'!$G$47,IF(N90="sieć ciepłownicza",0,IF(N90="prąd",0,0)))))))</f>
        <v>0</v>
      </c>
      <c r="AE90" s="639">
        <f>IF(N90="węgiel",Q90*'Założenia,wskaźniki, listy'!$C$48,IF(N90="gaz",Q90*'Założenia,wskaźniki, listy'!$D$48,IF(N90="drewno",Q90*'Założenia,wskaźniki, listy'!$E$48,IF(N90="pelet",Q90*'Założenia,wskaźniki, listy'!$G$48,IF(N90="olej opałowy",Q90*'Założenia,wskaźniki, listy'!$G$48,IF(N90="sieć ciepłownicza",0,IF(N90="prąd",0,0)))))))</f>
        <v>0</v>
      </c>
      <c r="AF90" s="639">
        <f>IF(N90="węgiel",Q90*'Założenia,wskaźniki, listy'!$C$49,IF(N90="gaz",Q90*'Założenia,wskaźniki, listy'!$D$49,IF(N90="drewno",Q90*'Założenia,wskaźniki, listy'!$E$49,IF(N90="pelet",Q90*'Założenia,wskaźniki, listy'!$G$49,IF(N90="olej opałowy",Q90*'Założenia,wskaźniki, listy'!$G$49,IF(N90="sieć ciepłownicza",0,IF(N90="prąd",0,0)))))))</f>
        <v>0</v>
      </c>
      <c r="AG90" s="639">
        <f>IF(N90="węgiel",Q90*'Założenia,wskaźniki, listy'!$C$50,IF(N90="gaz",Q90*'Założenia,wskaźniki, listy'!$D$50,IF(N90="drewno",Q90*'Założenia,wskaźniki, listy'!$E$50,IF(N90="pelet",Q90*'Założenia,wskaźniki, listy'!$G$50,IF(N90="olej opałowy",Q90*'Założenia,wskaźniki, listy'!$G$50,IF(N90="sieć ciepłownicza",0,IF(N90="prąd",0,0)))))))</f>
        <v>0</v>
      </c>
      <c r="AH90" s="640">
        <f>IF(L90="węgiel",(P90+R90)/2*'Założenia,wskaźniki, listy'!$C$4,IF(L90="gaz",(P90+R90)/2*'Założenia,wskaźniki, listy'!$C$5,IF(L90="drewno",(P90+R90)/2*'Założenia,wskaźniki, listy'!$C$6,IF(L90="pelet",(P90+R90)/2*'Założenia,wskaźniki, listy'!$C$7,IF(L90="olej opałowy",(P90+R90)/2*'Założenia,wskaźniki, listy'!$C$8,IF(L90="sieć ciepłownicza",(P90+R90)/2*'Założenia,wskaźniki, listy'!$C$9,IF(L90="sieć ciepłownicza",(P90+R90)/2*'Założenia,wskaźniki, listy'!$C$10,)))))))</f>
        <v>142.5</v>
      </c>
      <c r="AI90" s="640">
        <f>IF(N90="węgiel",Q90*'Założenia,wskaźniki, listy'!$C$4,IF(N90="gaz",Q90*'Założenia,wskaźniki, listy'!$C$5,IF(N90="drewno",Q90*'Założenia,wskaźniki, listy'!$C$6,IF(N90="pelet",Q90*'Założenia,wskaźniki, listy'!$C$7,IF(N90="olej opałowy",Q90*'Założenia,wskaźniki, listy'!$C$8,IF(N90="sieć ciepłownicza",Q90*'Założenia,wskaźniki, listy'!$C$9,IF(N90="sieć ciepłownicza",Q90*'Założenia,wskaźniki, listy'!$C$10,0)))))))</f>
        <v>0</v>
      </c>
      <c r="AJ90" s="640">
        <f>S90*'Założenia,wskaźniki, listy'!$B$64*1000</f>
        <v>0</v>
      </c>
      <c r="AK90" s="640">
        <f>(H90+I90)*'Założenia,wskaźniki, listy'!$D$64*12</f>
        <v>0</v>
      </c>
      <c r="AL90" s="640">
        <f>AK90*'Założenia,wskaźniki, listy'!$F$64</f>
        <v>0</v>
      </c>
      <c r="AM90" s="639">
        <f t="shared" ref="AM90" si="158">T90+AA90</f>
        <v>3.5999999999999999E-3</v>
      </c>
      <c r="AN90" s="639">
        <f t="shared" ref="AN90" si="159">U90+AB90</f>
        <v>3.5249999999999999E-3</v>
      </c>
      <c r="AO90" s="639">
        <f>V90+AC90+S90*'Założenia,wskaźniki, listy'!$J$46</f>
        <v>0</v>
      </c>
      <c r="AP90" s="639">
        <f t="shared" ref="AP90" si="160">W90+AD90</f>
        <v>9.075000000000001E-7</v>
      </c>
      <c r="AQ90" s="639">
        <f t="shared" ref="AQ90" si="161">X90+AE90</f>
        <v>8.25E-5</v>
      </c>
      <c r="AR90" s="639">
        <f t="shared" ref="AR90" si="162">Y90+AF90</f>
        <v>6.0000000000000006E-4</v>
      </c>
      <c r="AS90" s="639">
        <f t="shared" ref="AS90" si="163">Z90+AG90</f>
        <v>1.3454999999999999E-3</v>
      </c>
      <c r="AT90" s="647"/>
      <c r="AU90" s="647"/>
      <c r="AV90" s="624">
        <f t="shared" si="135"/>
        <v>0</v>
      </c>
      <c r="AW90" s="624" t="b">
        <f t="shared" si="136"/>
        <v>0</v>
      </c>
      <c r="AX90" s="624" t="b">
        <f t="shared" si="137"/>
        <v>0</v>
      </c>
      <c r="AY90" s="624" t="b">
        <f t="shared" si="138"/>
        <v>0</v>
      </c>
      <c r="AZ90" s="624" t="b">
        <f t="shared" si="139"/>
        <v>0</v>
      </c>
      <c r="BA90" s="624" t="b">
        <f t="shared" si="140"/>
        <v>0</v>
      </c>
      <c r="BB90" s="624" t="b">
        <f t="shared" si="141"/>
        <v>0</v>
      </c>
      <c r="BC90" s="624" t="b">
        <f t="shared" si="142"/>
        <v>0</v>
      </c>
      <c r="BD90" s="624" t="b">
        <f t="shared" si="143"/>
        <v>0</v>
      </c>
      <c r="BE90" s="624" t="b">
        <f t="shared" si="144"/>
        <v>0</v>
      </c>
      <c r="BF90" s="624" t="b">
        <f t="shared" si="145"/>
        <v>0</v>
      </c>
      <c r="BG90" s="624" t="b">
        <f t="shared" si="146"/>
        <v>0</v>
      </c>
      <c r="BH90" s="624">
        <f t="shared" si="147"/>
        <v>7.5</v>
      </c>
      <c r="BI90" s="624" t="b">
        <f t="shared" si="148"/>
        <v>0</v>
      </c>
      <c r="BJ90" s="624" t="b">
        <f t="shared" si="149"/>
        <v>0</v>
      </c>
      <c r="BK90" s="624" t="b">
        <f t="shared" si="150"/>
        <v>0</v>
      </c>
      <c r="BL90" s="624" t="b">
        <f t="shared" si="151"/>
        <v>0</v>
      </c>
      <c r="BM90" s="624" t="b">
        <f t="shared" si="152"/>
        <v>0</v>
      </c>
      <c r="BN90" s="624" t="b">
        <f t="shared" si="153"/>
        <v>0</v>
      </c>
      <c r="BO90" s="624" t="b">
        <f t="shared" si="154"/>
        <v>0</v>
      </c>
      <c r="BP90" s="624" t="b">
        <f t="shared" si="155"/>
        <v>0</v>
      </c>
      <c r="BQ90" s="624" t="b">
        <f t="shared" si="156"/>
        <v>0</v>
      </c>
    </row>
    <row r="91" spans="1:70">
      <c r="A91" s="1086">
        <v>44</v>
      </c>
      <c r="B91" s="872" t="s">
        <v>21</v>
      </c>
      <c r="C91" s="873" t="s">
        <v>621</v>
      </c>
      <c r="D91" s="645" t="s">
        <v>628</v>
      </c>
      <c r="E91" s="645">
        <v>25</v>
      </c>
      <c r="F91" s="644">
        <v>1992</v>
      </c>
      <c r="G91" s="644">
        <v>180</v>
      </c>
      <c r="H91" s="644"/>
      <c r="I91" s="635"/>
      <c r="J91" s="644">
        <f>IF(F91&lt;=1966,'Założenia,wskaźniki, listy'!$H$4,IF(F91&gt;1966,IF(F91&lt;=1985,'Założenia,wskaźniki, listy'!$H$5,IF(F91&gt;1985,IF(F91&lt;=1992,'Założenia,wskaźniki, listy'!$H$6,IF(F91&gt;1992,IF(F91&lt;=1996,'Założenia,wskaźniki, listy'!$H$7,IF(F91&gt;1996,IF(F91&lt;=2015,'Założenia,wskaźniki, listy'!$H$8)))))))))</f>
        <v>175</v>
      </c>
      <c r="K91" s="864" t="s">
        <v>33</v>
      </c>
      <c r="L91" s="872" t="s">
        <v>8</v>
      </c>
      <c r="M91" s="872">
        <v>2</v>
      </c>
      <c r="N91" s="644"/>
      <c r="O91" s="637">
        <f t="shared" si="134"/>
        <v>67.97</v>
      </c>
      <c r="P91" s="646">
        <f>IF(K91="kompletna",J91*G91*0.0036*'Założenia,wskaźniki, listy'!$P$9,IF(K91="częściowa",J91*G91*0.0036*'Założenia,wskaźniki, listy'!$P$10,IF(K91="brak",J91*G91*0.0036*'Założenia,wskaźniki, listy'!$P$11,0)))</f>
        <v>90.72</v>
      </c>
      <c r="Q91" s="638">
        <f>H91*'Założenia,wskaźniki, listy'!$L$15</f>
        <v>0</v>
      </c>
      <c r="R91" s="635">
        <f>IF(L91="węgiel",'Mieszkalne - baza'!M91*'Założenia,wskaźniki, listy'!$B$4,IF(L91="gaz",'Mieszkalne - baza'!M91*'Założenia,wskaźniki, listy'!$B$5,IF(L91="drewno",'Mieszkalne - baza'!M91*'Założenia,wskaźniki, listy'!$B$6,IF(L91="pelet",'Mieszkalne - baza'!M91*'Założenia,wskaźniki, listy'!$B$7,IF(L91="olej opałowy",'Mieszkalne - baza'!M91*'Założenia,wskaźniki, listy'!$B$8,IF(L91="sieć ciepłownicza",0,0))))))</f>
        <v>45.22</v>
      </c>
      <c r="S91" s="1084">
        <v>1.974</v>
      </c>
      <c r="T91" s="639">
        <f>IF(L91="węgiel",R91*'Założenia,wskaźniki, listy'!$C$44,IF(L91="gaz",R91*'Założenia,wskaźniki, listy'!$D$44,IF(L91="drewno",R91*'Założenia,wskaźniki, listy'!$E$44,IF(L91="pelet",R91*'Założenia,wskaźniki, listy'!$F$44,IF(L91="olej opałowy",R91*'Założenia,wskaźniki, listy'!$G$44,IF(L91="sieć ciepłownicza",0,IF(L91="prąd",0,0)))))))</f>
        <v>1.01745E-2</v>
      </c>
      <c r="U91" s="639">
        <f>IF(L91="węgiel",R91*'Założenia,wskaźniki, listy'!$C$45,IF(L91="gaz",R91*'Założenia,wskaźniki, listy'!$D$45,IF(L91="drewno",R91*'Założenia,wskaźniki, listy'!$E$45,IF(L91="pelet",R91*'Założenia,wskaźniki, listy'!$F$45,IF(L91="olej opałowy",R91*'Założenia,wskaźniki, listy'!$G$45,IF(L91="sieć ciepłownicza",0,IF(L91="prąd",0,0)))))))</f>
        <v>9.0892200000000003E-3</v>
      </c>
      <c r="V91" s="639">
        <f>IF(L91="węgiel",R91*'Założenia,wskaźniki, listy'!$C$46,IF(L91="gaz",R91*'Założenia,wskaźniki, listy'!$D$46,IF(L91="drewno",R91*'Założenia,wskaźniki, listy'!$E$46,IF(L91="pelet",R91*'Założenia,wskaźniki, listy'!$F$46,IF(L91="olej opałowy",R91*'Założenia,wskaźniki, listy'!$G$46,IF(L91="sieć ciepłownicza",R91*'Założenia,wskaźniki, listy'!$H$46,IF(L91="prąd",R91*'Założenia,wskaźniki, listy'!$I$46,0)))))))</f>
        <v>4.2389227999999992</v>
      </c>
      <c r="W91" s="639">
        <f>IF(L91="węgiel",R91*'Założenia,wskaźniki, listy'!$C$47,IF(L91="gaz",R91*'Założenia,wskaźniki, listy'!$D$47,IF(L91="drewno",R91*'Założenia,wskaźniki, listy'!$E$47,IF(L91="pelet",R91*'Założenia,wskaźniki, listy'!$F$47,IF(L91="olej opałowy",R91*'Założenia,wskaźniki, listy'!$G$47,IF(L91="sieć ciepłownicza",0,IF(L91="prąd",0,0)))))))</f>
        <v>1.22094E-5</v>
      </c>
      <c r="X91" s="639">
        <f>IF(L91="węgiel",R91*'Założenia,wskaźniki, listy'!$C$48, IF(L91="gaz",R91*'Założenia,wskaźniki, listy'!$D$48,IF(L91="drewno",R91*'Założenia,wskaźniki, listy'!$E$48,IF(L91="pelet",R91*'Założenia,wskaźniki, listy'!$F$48,IF(L91="olej opałowy",R91*'Założenia,wskaźniki, listy'!$G$48,IF(L91="sieć ciepłownicza",0,IF(L91="prąd",0,0)))))))</f>
        <v>4.0697999999999998E-2</v>
      </c>
      <c r="Y91" s="639">
        <f>IF(L91="węgiel",R91*'Założenia,wskaźniki, listy'!$C$49, IF(L91="gaz",R91*'Założenia,wskaźniki, listy'!$D$49, IF(L91="drewno",R91*'Założenia,wskaźniki, listy'!$E$49,IF(L91="pelet",R91*'Założenia,wskaźniki, listy'!$F$49,IF(L91="olej opałowy",R91*'Założenia,wskaźniki, listy'!$G$49,IF(L91="sieć ciepłownicza",0,IF(L91="prąd",0,0)))))))</f>
        <v>7.1447599999999991E-3</v>
      </c>
      <c r="Z91" s="639">
        <f>IF(L91="węgiel",R91*'Założenia,wskaźniki, listy'!$C$50,IF(L91="gaz",R91*'Założenia,wskaźniki, listy'!$D$50, IF(L91="drewno",R91*'Założenia,wskaźniki, listy'!$E$50,IF(L91="pelet",R91*'Założenia,wskaźniki, listy'!$F$50,IF(L91="pelet",R91*'Założenia,wskaźniki, listy'!$F$50,IF(L91="olej opałowy",R91*'Założenia,wskaźniki, listy'!$G$50,IF(L91="sieć ciepłownicza",0,IF(L91="prąd",0,0))))))))</f>
        <v>9.0965578900312913E-2</v>
      </c>
      <c r="AA91" s="639">
        <f>IF(N91="węgiel",Q91*'Założenia,wskaźniki, listy'!$C$44,IF(N91="gaz",Q91*'Założenia,wskaźniki, listy'!$D$44,IF(N91="drewno",Q91*'Założenia,wskaźniki, listy'!$E$44,IF(N91="pelet",Q91*'Założenia,wskaźniki, listy'!$G$44,IF(N91="olej opałowy",Q91*'Założenia,wskaźniki, listy'!$G$44,IF(N91="sieć ciepłownicza",0,IF(N91="prąd",0,0)))))))</f>
        <v>0</v>
      </c>
      <c r="AB91" s="639">
        <f>IF(N91="węgiel",Q91*'Założenia,wskaźniki, listy'!$C$45,IF(N91="gaz",Q91*'Założenia,wskaźniki, listy'!$D$45,IF(N91="drewno",Q91*'Założenia,wskaźniki, listy'!$E$45,IF(N91="pelet",Q91*'Założenia,wskaźniki, listy'!$G$45,IF(N91="olej opałowy",Q91*'Założenia,wskaźniki, listy'!$G$45,IF(N91="sieć ciepłownicza",0,IF(N91="prąd",0,0)))))))</f>
        <v>0</v>
      </c>
      <c r="AC91" s="639">
        <f>IF(N91="węgiel",Q91*'Założenia,wskaźniki, listy'!$C$46,IF(N91="gaz",Q91*'Założenia,wskaźniki, listy'!$D$46,IF(N91="drewno",Q91*'Założenia,wskaźniki, listy'!$E$46,IF(N91="pelet",Q91*'Założenia,wskaźniki, listy'!$G$46,IF(N91="olej opałowy",Q91*'Założenia,wskaźniki, listy'!$G$46,IF(N91="sieć ciepłownicza",0,IF(N91="prąd",0,0)))))))</f>
        <v>0</v>
      </c>
      <c r="AD91" s="639">
        <f>IF(N91="węgiel",Q91*'Założenia,wskaźniki, listy'!$C$47,IF(N91="gaz",Q91*'Założenia,wskaźniki, listy'!$D$47,IF(N91="drewno",Q91*'Założenia,wskaźniki, listy'!$E$47,IF(N91="pelet",Q91*'Założenia,wskaźniki, listy'!$G$47,IF(N91="olej opałowy",Q91*'Założenia,wskaźniki, listy'!$G$47,IF(N91="sieć ciepłownicza",0,IF(N91="prąd",0,0)))))))</f>
        <v>0</v>
      </c>
      <c r="AE91" s="639">
        <f>IF(N91="węgiel",Q91*'Założenia,wskaźniki, listy'!$C$48,IF(N91="gaz",Q91*'Założenia,wskaźniki, listy'!$D$48,IF(N91="drewno",Q91*'Założenia,wskaźniki, listy'!$E$48,IF(N91="pelet",Q91*'Założenia,wskaźniki, listy'!$G$48,IF(N91="olej opałowy",Q91*'Założenia,wskaźniki, listy'!$G$48,IF(N91="sieć ciepłownicza",0,IF(N91="prąd",0,0)))))))</f>
        <v>0</v>
      </c>
      <c r="AF91" s="639">
        <f>IF(N91="węgiel",Q91*'Założenia,wskaźniki, listy'!$C$49,IF(N91="gaz",Q91*'Założenia,wskaźniki, listy'!$D$49,IF(N91="drewno",Q91*'Założenia,wskaźniki, listy'!$E$49,IF(N91="pelet",Q91*'Założenia,wskaźniki, listy'!$G$49,IF(N91="olej opałowy",Q91*'Założenia,wskaźniki, listy'!$G$49,IF(N91="sieć ciepłownicza",0,IF(N91="prąd",0,0)))))))</f>
        <v>0</v>
      </c>
      <c r="AG91" s="639">
        <f>IF(N91="węgiel",Q91*'Założenia,wskaźniki, listy'!$C$50,IF(N91="gaz",Q91*'Założenia,wskaźniki, listy'!$D$50,IF(N91="drewno",Q91*'Założenia,wskaźniki, listy'!$E$50,IF(N91="pelet",Q91*'Założenia,wskaźniki, listy'!$G$50,IF(N91="olej opałowy",Q91*'Założenia,wskaźniki, listy'!$G$50,IF(N91="sieć ciepłownicza",0,IF(N91="prąd",0,0)))))))</f>
        <v>0</v>
      </c>
      <c r="AH91" s="640">
        <f>IF(L91="węgiel",(P91+R91)/2*'Założenia,wskaźniki, listy'!$C$4,IF(L91="gaz",(P91+R91)/2*'Założenia,wskaźniki, listy'!$C$5,IF(L91="drewno",(P91+R91)/2*'Założenia,wskaźniki, listy'!$C$6,IF(L91="pelet",(P91+R91)/2*'Założenia,wskaźniki, listy'!$C$7,IF(L91="olej opałowy",(P91+R91)/2*'Założenia,wskaźniki, listy'!$C$8,IF(L91="sieć ciepłownicza",(P91+R91)/2*'Założenia,wskaźniki, listy'!$C$9,IF(L91="sieć ciepłownicza",(P91+R91)/2*'Założenia,wskaźniki, listy'!$C$10,)))))))</f>
        <v>2786.77</v>
      </c>
      <c r="AI91" s="640">
        <f>IF(N91="węgiel",Q91*'Założenia,wskaźniki, listy'!$C$4,IF(N91="gaz",Q91*'Założenia,wskaźniki, listy'!$C$5,IF(N91="drewno",Q91*'Założenia,wskaźniki, listy'!$C$6,IF(N91="pelet",Q91*'Założenia,wskaźniki, listy'!$C$7,IF(N91="olej opałowy",Q91*'Założenia,wskaźniki, listy'!$C$8,IF(N91="sieć ciepłownicza",Q91*'Założenia,wskaźniki, listy'!$C$9,IF(N91="sieć ciepłownicza",Q91*'Założenia,wskaźniki, listy'!$C$10,0)))))))</f>
        <v>0</v>
      </c>
      <c r="AJ91" s="640">
        <f>S91*'Założenia,wskaźniki, listy'!$B$64*1000</f>
        <v>1401.54</v>
      </c>
      <c r="AK91" s="640">
        <f>(H91+I91)*'Założenia,wskaźniki, listy'!$D$64*12</f>
        <v>0</v>
      </c>
      <c r="AL91" s="640">
        <f>AK91*'Założenia,wskaźniki, listy'!$F$64</f>
        <v>0</v>
      </c>
      <c r="AM91" s="639">
        <f t="shared" si="128"/>
        <v>1.01745E-2</v>
      </c>
      <c r="AN91" s="639">
        <f t="shared" si="129"/>
        <v>9.0892200000000003E-3</v>
      </c>
      <c r="AO91" s="639">
        <f>V91+AC91+S91*'Założenia,wskaźniki, listy'!$J$46</f>
        <v>5.8803037999999992</v>
      </c>
      <c r="AP91" s="639">
        <f t="shared" si="130"/>
        <v>1.22094E-5</v>
      </c>
      <c r="AQ91" s="639">
        <f t="shared" si="131"/>
        <v>4.0697999999999998E-2</v>
      </c>
      <c r="AR91" s="639">
        <f t="shared" si="132"/>
        <v>7.1447599999999991E-3</v>
      </c>
      <c r="AS91" s="639">
        <f t="shared" si="133"/>
        <v>9.0965578900312913E-2</v>
      </c>
      <c r="AT91" s="647"/>
      <c r="AU91" s="647"/>
      <c r="AV91" s="624" t="b">
        <f t="shared" si="135"/>
        <v>0</v>
      </c>
      <c r="AW91" s="624">
        <f t="shared" si="136"/>
        <v>0</v>
      </c>
      <c r="AX91" s="624" t="b">
        <f t="shared" si="137"/>
        <v>0</v>
      </c>
      <c r="AY91" s="624">
        <f t="shared" si="138"/>
        <v>0</v>
      </c>
      <c r="AZ91" s="624">
        <f t="shared" si="139"/>
        <v>180</v>
      </c>
      <c r="BA91" s="624">
        <f t="shared" si="140"/>
        <v>90</v>
      </c>
      <c r="BB91" s="624" t="b">
        <f t="shared" si="141"/>
        <v>0</v>
      </c>
      <c r="BC91" s="624">
        <f t="shared" si="142"/>
        <v>0</v>
      </c>
      <c r="BD91" s="624" t="b">
        <f t="shared" si="143"/>
        <v>0</v>
      </c>
      <c r="BE91" s="624">
        <f t="shared" si="144"/>
        <v>0</v>
      </c>
      <c r="BF91" s="624">
        <f t="shared" si="145"/>
        <v>45.22</v>
      </c>
      <c r="BG91" s="624" t="b">
        <f t="shared" si="146"/>
        <v>0</v>
      </c>
      <c r="BH91" s="624" t="b">
        <f t="shared" si="147"/>
        <v>0</v>
      </c>
      <c r="BI91" s="624" t="b">
        <f t="shared" si="148"/>
        <v>0</v>
      </c>
      <c r="BJ91" s="624" t="b">
        <f t="shared" si="149"/>
        <v>0</v>
      </c>
      <c r="BK91" s="624" t="b">
        <f t="shared" si="150"/>
        <v>0</v>
      </c>
      <c r="BL91" s="624" t="b">
        <f t="shared" si="151"/>
        <v>0</v>
      </c>
      <c r="BM91" s="624" t="b">
        <f t="shared" si="152"/>
        <v>0</v>
      </c>
      <c r="BN91" s="624" t="b">
        <f t="shared" si="153"/>
        <v>0</v>
      </c>
      <c r="BO91" s="624" t="b">
        <f t="shared" si="154"/>
        <v>0</v>
      </c>
      <c r="BP91" s="624" t="b">
        <f t="shared" si="155"/>
        <v>0</v>
      </c>
      <c r="BQ91" s="624" t="b">
        <f t="shared" si="156"/>
        <v>0</v>
      </c>
    </row>
    <row r="92" spans="1:70">
      <c r="A92" s="1087"/>
      <c r="B92" s="872"/>
      <c r="C92" s="872"/>
      <c r="D92" s="645"/>
      <c r="E92" s="645"/>
      <c r="F92" s="644"/>
      <c r="G92" s="644"/>
      <c r="H92" s="644"/>
      <c r="I92" s="635"/>
      <c r="J92" s="644">
        <f>IF(F92&lt;=1966,'Założenia,wskaźniki, listy'!$H$4,IF(F92&gt;1966,IF(F92&lt;=1985,'Założenia,wskaźniki, listy'!$H$5,IF(F92&gt;1985,IF(F92&lt;=1992,'Założenia,wskaźniki, listy'!$H$6,IF(F92&gt;1992,IF(F92&lt;=1996,'Założenia,wskaźniki, listy'!$H$7,IF(F92&gt;1996,IF(F92&lt;=2015,'Założenia,wskaźniki, listy'!$H$8)))))))))</f>
        <v>290</v>
      </c>
      <c r="K92" s="872"/>
      <c r="L92" s="872" t="s">
        <v>79</v>
      </c>
      <c r="M92" s="872">
        <v>2</v>
      </c>
      <c r="N92" s="644"/>
      <c r="O92" s="637">
        <f t="shared" si="134"/>
        <v>30</v>
      </c>
      <c r="P92" s="646">
        <f>IF(K92="kompletna",J92*G92*0.0036*'Założenia,wskaźniki, listy'!$P$9,IF(K92="częściowa",J92*G92*0.0036*'Założenia,wskaźniki, listy'!$P$10,IF(K92="brak",J92*G92*0.0036*'Założenia,wskaźniki, listy'!$P$11,0)))</f>
        <v>0</v>
      </c>
      <c r="Q92" s="638">
        <f>H92*'Założenia,wskaźniki, listy'!$L$15</f>
        <v>0</v>
      </c>
      <c r="R92" s="635">
        <f>IF(L92="węgiel",'Mieszkalne - baza'!M92*'Założenia,wskaźniki, listy'!$B$4,IF(L92="gaz",'Mieszkalne - baza'!M92*'Założenia,wskaźniki, listy'!$B$5,IF(L92="drewno",'Mieszkalne - baza'!M92*'Założenia,wskaźniki, listy'!$B$6,IF(L92="pelet",'Mieszkalne - baza'!M92*'Założenia,wskaźniki, listy'!$B$7,IF(L92="olej opałowy",'Mieszkalne - baza'!M92*'Założenia,wskaźniki, listy'!$B$8,IF(L92="sieć ciepłownicza",0,0))))))</f>
        <v>30</v>
      </c>
      <c r="S92" s="1085"/>
      <c r="T92" s="639">
        <f>IF(L92="węgiel",R92*'Założenia,wskaźniki, listy'!$C$44,IF(L92="gaz",R92*'Założenia,wskaźniki, listy'!$D$44,IF(L92="drewno",R92*'Założenia,wskaźniki, listy'!$E$44,IF(L92="pelet",R92*'Założenia,wskaźniki, listy'!$F$44,IF(L92="olej opałowy",R92*'Założenia,wskaźniki, listy'!$G$44,IF(L92="sieć ciepłownicza",0,IF(L92="prąd",0,0)))))))</f>
        <v>1.44E-2</v>
      </c>
      <c r="U92" s="639">
        <f>IF(L92="węgiel",R92*'Założenia,wskaźniki, listy'!$C$45,IF(L92="gaz",R92*'Założenia,wskaźniki, listy'!$D$45,IF(L92="drewno",R92*'Założenia,wskaźniki, listy'!$E$45,IF(L92="pelet",R92*'Założenia,wskaźniki, listy'!$F$45,IF(L92="olej opałowy",R92*'Założenia,wskaźniki, listy'!$G$45,IF(L92="sieć ciepłownicza",0,IF(L92="prąd",0,0)))))))</f>
        <v>1.41E-2</v>
      </c>
      <c r="V92" s="639">
        <f>IF(L92="węgiel",R92*'Założenia,wskaźniki, listy'!$C$46,IF(L92="gaz",R92*'Założenia,wskaźniki, listy'!$D$46,IF(L92="drewno",R92*'Założenia,wskaźniki, listy'!$E$46,IF(L92="pelet",R92*'Założenia,wskaźniki, listy'!$F$46,IF(L92="olej opałowy",R92*'Założenia,wskaźniki, listy'!$G$46,IF(L92="sieć ciepłownicza",R92*'Założenia,wskaźniki, listy'!$H$46,IF(L92="prąd",R92*'Założenia,wskaźniki, listy'!$I$46,0)))))))</f>
        <v>0</v>
      </c>
      <c r="W92" s="639">
        <f>IF(L92="węgiel",R92*'Założenia,wskaźniki, listy'!$C$47,IF(L92="gaz",R92*'Założenia,wskaźniki, listy'!$D$47,IF(L92="drewno",R92*'Założenia,wskaźniki, listy'!$E$47,IF(L92="pelet",R92*'Założenia,wskaźniki, listy'!$F$47,IF(L92="olej opałowy",R92*'Założenia,wskaźniki, listy'!$G$47,IF(L92="sieć ciepłownicza",0,IF(L92="prąd",0,0)))))))</f>
        <v>3.6300000000000004E-6</v>
      </c>
      <c r="X92" s="639">
        <f>IF(L92="węgiel",R92*'Założenia,wskaźniki, listy'!$C$48, IF(L92="gaz",R92*'Założenia,wskaźniki, listy'!$D$48,IF(L92="drewno",R92*'Założenia,wskaźniki, listy'!$E$48,IF(L92="pelet",R92*'Założenia,wskaźniki, listy'!$F$48,IF(L92="olej opałowy",R92*'Założenia,wskaźniki, listy'!$G$48,IF(L92="sieć ciepłownicza",0,IF(L92="prąd",0,0)))))))</f>
        <v>3.3E-4</v>
      </c>
      <c r="Y92" s="639">
        <f>IF(L92="węgiel",R92*'Założenia,wskaźniki, listy'!$C$49, IF(L92="gaz",R92*'Założenia,wskaźniki, listy'!$D$49, IF(L92="drewno",R92*'Założenia,wskaźniki, listy'!$E$49,IF(L92="pelet",R92*'Założenia,wskaźniki, listy'!$F$49,IF(L92="olej opałowy",R92*'Założenia,wskaźniki, listy'!$G$49,IF(L92="sieć ciepłownicza",0,IF(L92="prąd",0,0)))))))</f>
        <v>2.4000000000000002E-3</v>
      </c>
      <c r="Z92" s="639">
        <f>IF(L92="węgiel",R92*'Założenia,wskaźniki, listy'!$C$50,IF(L92="gaz",R92*'Założenia,wskaźniki, listy'!$D$50, IF(L92="drewno",R92*'Założenia,wskaźniki, listy'!$E$50,IF(L92="pelet",R92*'Założenia,wskaźniki, listy'!$F$50,IF(L92="pelet",R92*'Założenia,wskaźniki, listy'!$F$50,IF(L92="olej opałowy",R92*'Założenia,wskaźniki, listy'!$G$50,IF(L92="sieć ciepłownicza",0,IF(L92="prąd",0,0))))))))</f>
        <v>5.3819999999999996E-3</v>
      </c>
      <c r="AA92" s="639">
        <f>IF(N92="węgiel",Q92*'Założenia,wskaźniki, listy'!$C$44,IF(N92="gaz",Q92*'Założenia,wskaźniki, listy'!$D$44,IF(N92="drewno",Q92*'Założenia,wskaźniki, listy'!$E$44,IF(N92="pelet",Q92*'Założenia,wskaźniki, listy'!$G$44,IF(N92="olej opałowy",Q92*'Założenia,wskaźniki, listy'!$G$44,IF(N92="sieć ciepłownicza",0,IF(N92="prąd",0,0)))))))</f>
        <v>0</v>
      </c>
      <c r="AB92" s="639">
        <f>IF(N92="węgiel",Q92*'Założenia,wskaźniki, listy'!$C$45,IF(N92="gaz",Q92*'Założenia,wskaźniki, listy'!$D$45,IF(N92="drewno",Q92*'Założenia,wskaźniki, listy'!$E$45,IF(N92="pelet",Q92*'Założenia,wskaźniki, listy'!$G$45,IF(N92="olej opałowy",Q92*'Założenia,wskaźniki, listy'!$G$45,IF(N92="sieć ciepłownicza",0,IF(N92="prąd",0,0)))))))</f>
        <v>0</v>
      </c>
      <c r="AC92" s="639">
        <f>IF(N92="węgiel",Q92*'Założenia,wskaźniki, listy'!$C$46,IF(N92="gaz",Q92*'Założenia,wskaźniki, listy'!$D$46,IF(N92="drewno",Q92*'Założenia,wskaźniki, listy'!$E$46,IF(N92="pelet",Q92*'Założenia,wskaźniki, listy'!$G$46,IF(N92="olej opałowy",Q92*'Założenia,wskaźniki, listy'!$G$46,IF(N92="sieć ciepłownicza",0,IF(N92="prąd",0,0)))))))</f>
        <v>0</v>
      </c>
      <c r="AD92" s="639">
        <f>IF(N92="węgiel",Q92*'Założenia,wskaźniki, listy'!$C$47,IF(N92="gaz",Q92*'Założenia,wskaźniki, listy'!$D$47,IF(N92="drewno",Q92*'Założenia,wskaźniki, listy'!$E$47,IF(N92="pelet",Q92*'Założenia,wskaźniki, listy'!$G$47,IF(N92="olej opałowy",Q92*'Założenia,wskaźniki, listy'!$G$47,IF(N92="sieć ciepłownicza",0,IF(N92="prąd",0,0)))))))</f>
        <v>0</v>
      </c>
      <c r="AE92" s="639">
        <f>IF(N92="węgiel",Q92*'Założenia,wskaźniki, listy'!$C$48,IF(N92="gaz",Q92*'Założenia,wskaźniki, listy'!$D$48,IF(N92="drewno",Q92*'Założenia,wskaźniki, listy'!$E$48,IF(N92="pelet",Q92*'Założenia,wskaźniki, listy'!$G$48,IF(N92="olej opałowy",Q92*'Założenia,wskaźniki, listy'!$G$48,IF(N92="sieć ciepłownicza",0,IF(N92="prąd",0,0)))))))</f>
        <v>0</v>
      </c>
      <c r="AF92" s="639">
        <f>IF(N92="węgiel",Q92*'Założenia,wskaźniki, listy'!$C$49,IF(N92="gaz",Q92*'Założenia,wskaźniki, listy'!$D$49,IF(N92="drewno",Q92*'Założenia,wskaźniki, listy'!$E$49,IF(N92="pelet",Q92*'Założenia,wskaźniki, listy'!$G$49,IF(N92="olej opałowy",Q92*'Założenia,wskaźniki, listy'!$G$49,IF(N92="sieć ciepłownicza",0,IF(N92="prąd",0,0)))))))</f>
        <v>0</v>
      </c>
      <c r="AG92" s="639">
        <f>IF(N92="węgiel",Q92*'Założenia,wskaźniki, listy'!$C$50,IF(N92="gaz",Q92*'Założenia,wskaźniki, listy'!$D$50,IF(N92="drewno",Q92*'Założenia,wskaźniki, listy'!$E$50,IF(N92="pelet",Q92*'Założenia,wskaźniki, listy'!$G$50,IF(N92="olej opałowy",Q92*'Założenia,wskaźniki, listy'!$G$50,IF(N92="sieć ciepłownicza",0,IF(N92="prąd",0,0)))))))</f>
        <v>0</v>
      </c>
      <c r="AH92" s="640">
        <f>IF(L92="węgiel",(P92+R92)/2*'Założenia,wskaźniki, listy'!$C$4,IF(L92="gaz",(P92+R92)/2*'Założenia,wskaźniki, listy'!$C$5,IF(L92="drewno",(P92+R92)/2*'Założenia,wskaźniki, listy'!$C$6,IF(L92="pelet",(P92+R92)/2*'Założenia,wskaźniki, listy'!$C$7,IF(L92="olej opałowy",(P92+R92)/2*'Założenia,wskaźniki, listy'!$C$8,IF(L92="sieć ciepłownicza",(P92+R92)/2*'Założenia,wskaźniki, listy'!$C$9,IF(L92="sieć ciepłownicza",(P92+R92)/2*'Założenia,wskaźniki, listy'!$C$10,)))))))</f>
        <v>570</v>
      </c>
      <c r="AI92" s="640">
        <f>IF(N92="węgiel",Q92*'Założenia,wskaźniki, listy'!$C$4,IF(N92="gaz",Q92*'Założenia,wskaźniki, listy'!$C$5,IF(N92="drewno",Q92*'Założenia,wskaźniki, listy'!$C$6,IF(N92="pelet",Q92*'Założenia,wskaźniki, listy'!$C$7,IF(N92="olej opałowy",Q92*'Założenia,wskaźniki, listy'!$C$8,IF(N92="sieć ciepłownicza",Q92*'Założenia,wskaźniki, listy'!$C$9,IF(N92="sieć ciepłownicza",Q92*'Założenia,wskaźniki, listy'!$C$10,0)))))))</f>
        <v>0</v>
      </c>
      <c r="AJ92" s="640">
        <f>S92*'Założenia,wskaźniki, listy'!$B$64*1000</f>
        <v>0</v>
      </c>
      <c r="AK92" s="640">
        <f>(H92+I92)*'Założenia,wskaźniki, listy'!$D$64*12</f>
        <v>0</v>
      </c>
      <c r="AL92" s="640">
        <f>AK92*'Założenia,wskaźniki, listy'!$F$64</f>
        <v>0</v>
      </c>
      <c r="AM92" s="639">
        <f t="shared" si="128"/>
        <v>1.44E-2</v>
      </c>
      <c r="AN92" s="639">
        <f t="shared" si="129"/>
        <v>1.41E-2</v>
      </c>
      <c r="AO92" s="639">
        <f>V92+AC92+S92*'Założenia,wskaźniki, listy'!$J$46</f>
        <v>0</v>
      </c>
      <c r="AP92" s="639">
        <f t="shared" si="130"/>
        <v>3.6300000000000004E-6</v>
      </c>
      <c r="AQ92" s="639">
        <f t="shared" si="131"/>
        <v>3.3E-4</v>
      </c>
      <c r="AR92" s="639">
        <f t="shared" si="132"/>
        <v>2.4000000000000002E-3</v>
      </c>
      <c r="AS92" s="639">
        <f t="shared" si="133"/>
        <v>5.3819999999999996E-3</v>
      </c>
      <c r="AT92" s="647"/>
      <c r="AU92" s="647"/>
      <c r="AV92" s="624">
        <f t="shared" si="135"/>
        <v>0</v>
      </c>
      <c r="AW92" s="624" t="b">
        <f t="shared" si="136"/>
        <v>0</v>
      </c>
      <c r="AX92" s="624" t="b">
        <f t="shared" si="137"/>
        <v>0</v>
      </c>
      <c r="AY92" s="624" t="b">
        <f t="shared" si="138"/>
        <v>0</v>
      </c>
      <c r="AZ92" s="624" t="b">
        <f t="shared" si="139"/>
        <v>0</v>
      </c>
      <c r="BA92" s="624" t="b">
        <f t="shared" si="140"/>
        <v>0</v>
      </c>
      <c r="BB92" s="624" t="b">
        <f t="shared" si="141"/>
        <v>0</v>
      </c>
      <c r="BC92" s="624" t="b">
        <f t="shared" si="142"/>
        <v>0</v>
      </c>
      <c r="BD92" s="624" t="b">
        <f t="shared" si="143"/>
        <v>0</v>
      </c>
      <c r="BE92" s="624" t="b">
        <f t="shared" si="144"/>
        <v>0</v>
      </c>
      <c r="BF92" s="624" t="b">
        <f t="shared" si="145"/>
        <v>0</v>
      </c>
      <c r="BG92" s="624" t="b">
        <f t="shared" si="146"/>
        <v>0</v>
      </c>
      <c r="BH92" s="624">
        <f t="shared" si="147"/>
        <v>30</v>
      </c>
      <c r="BI92" s="624" t="b">
        <f t="shared" si="148"/>
        <v>0</v>
      </c>
      <c r="BJ92" s="624" t="b">
        <f t="shared" si="149"/>
        <v>0</v>
      </c>
      <c r="BK92" s="624" t="b">
        <f t="shared" si="150"/>
        <v>0</v>
      </c>
      <c r="BL92" s="624" t="b">
        <f t="shared" si="151"/>
        <v>0</v>
      </c>
      <c r="BM92" s="624" t="b">
        <f t="shared" si="152"/>
        <v>0</v>
      </c>
      <c r="BN92" s="624" t="b">
        <f t="shared" si="153"/>
        <v>0</v>
      </c>
      <c r="BO92" s="624" t="b">
        <f t="shared" si="154"/>
        <v>0</v>
      </c>
      <c r="BP92" s="624" t="b">
        <f t="shared" si="155"/>
        <v>0</v>
      </c>
      <c r="BQ92" s="624" t="b">
        <f t="shared" si="156"/>
        <v>0</v>
      </c>
    </row>
    <row r="93" spans="1:70">
      <c r="A93" s="1086">
        <v>45</v>
      </c>
      <c r="B93" s="872" t="s">
        <v>21</v>
      </c>
      <c r="C93" s="873" t="s">
        <v>621</v>
      </c>
      <c r="D93" s="645" t="s">
        <v>628</v>
      </c>
      <c r="E93" s="645">
        <v>23</v>
      </c>
      <c r="F93" s="644">
        <v>1968</v>
      </c>
      <c r="G93" s="644">
        <v>60</v>
      </c>
      <c r="H93" s="644"/>
      <c r="I93" s="635"/>
      <c r="J93" s="644">
        <f>IF(F93&lt;=1966,'Założenia,wskaźniki, listy'!$H$4,IF(F93&gt;1966,IF(F93&lt;=1985,'Założenia,wskaźniki, listy'!$H$5,IF(F93&gt;1985,IF(F93&lt;=1992,'Założenia,wskaźniki, listy'!$H$6,IF(F93&gt;1992,IF(F93&lt;=1996,'Założenia,wskaźniki, listy'!$H$7,IF(F93&gt;1996,IF(F93&lt;=2015,'Założenia,wskaźniki, listy'!$H$8)))))))))</f>
        <v>250</v>
      </c>
      <c r="K93" s="864" t="s">
        <v>31</v>
      </c>
      <c r="L93" s="644" t="s">
        <v>8</v>
      </c>
      <c r="M93" s="644">
        <v>2.5</v>
      </c>
      <c r="N93" s="644"/>
      <c r="O93" s="637">
        <f t="shared" si="134"/>
        <v>55.262500000000003</v>
      </c>
      <c r="P93" s="646">
        <f>IF(K93="kompletna",J93*G93*0.0036*'Założenia,wskaźniki, listy'!$P$9,IF(K93="częściowa",J93*G93*0.0036*'Założenia,wskaźniki, listy'!$P$10,IF(K93="brak",J93*G93*0.0036*'Założenia,wskaźniki, listy'!$P$11,0)))</f>
        <v>54</v>
      </c>
      <c r="Q93" s="638">
        <f>H93*'Założenia,wskaźniki, listy'!$L$15</f>
        <v>0</v>
      </c>
      <c r="R93" s="635">
        <f>IF(L93="węgiel",'Mieszkalne - baza'!M93*'Założenia,wskaźniki, listy'!$B$4,IF(L93="gaz",'Mieszkalne - baza'!M93*'Założenia,wskaźniki, listy'!$B$5,IF(L93="drewno",'Mieszkalne - baza'!M93*'Założenia,wskaźniki, listy'!$B$6,IF(L93="pelet",'Mieszkalne - baza'!M93*'Założenia,wskaźniki, listy'!$B$7,IF(L93="olej opałowy",'Mieszkalne - baza'!M93*'Założenia,wskaźniki, listy'!$B$8,IF(L93="sieć ciepłownicza",0,0))))))</f>
        <v>56.524999999999999</v>
      </c>
      <c r="S93" s="1084">
        <v>2.1431999999999998</v>
      </c>
      <c r="T93" s="639">
        <f>IF(L93="węgiel",R93*'Założenia,wskaźniki, listy'!$C$44,IF(L93="gaz",R93*'Założenia,wskaźniki, listy'!$D$44,IF(L93="drewno",R93*'Założenia,wskaźniki, listy'!$E$44,IF(L93="pelet",R93*'Założenia,wskaźniki, listy'!$F$44,IF(L93="olej opałowy",R93*'Założenia,wskaźniki, listy'!$G$44,IF(L93="sieć ciepłownicza",0,IF(L93="prąd",0,0)))))))</f>
        <v>1.2718124999999999E-2</v>
      </c>
      <c r="U93" s="639">
        <f>IF(L93="węgiel",R93*'Założenia,wskaźniki, listy'!$C$45,IF(L93="gaz",R93*'Założenia,wskaźniki, listy'!$D$45,IF(L93="drewno",R93*'Założenia,wskaźniki, listy'!$E$45,IF(L93="pelet",R93*'Założenia,wskaźniki, listy'!$F$45,IF(L93="olej opałowy",R93*'Założenia,wskaźniki, listy'!$G$45,IF(L93="sieć ciepłownicza",0,IF(L93="prąd",0,0)))))))</f>
        <v>1.1361525000000001E-2</v>
      </c>
      <c r="V93" s="639">
        <f>IF(L93="węgiel",R93*'Założenia,wskaźniki, listy'!$C$46,IF(L93="gaz",R93*'Założenia,wskaźniki, listy'!$D$46,IF(L93="drewno",R93*'Założenia,wskaźniki, listy'!$E$46,IF(L93="pelet",R93*'Założenia,wskaźniki, listy'!$F$46,IF(L93="olej opałowy",R93*'Założenia,wskaźniki, listy'!$G$46,IF(L93="sieć ciepłownicza",R93*'Założenia,wskaźniki, listy'!$H$46,IF(L93="prąd",R93*'Założenia,wskaźniki, listy'!$I$46,0)))))))</f>
        <v>5.2986534999999995</v>
      </c>
      <c r="W93" s="639">
        <f>IF(L93="węgiel",R93*'Założenia,wskaźniki, listy'!$C$47,IF(L93="gaz",R93*'Założenia,wskaźniki, listy'!$D$47,IF(L93="drewno",R93*'Założenia,wskaźniki, listy'!$E$47,IF(L93="pelet",R93*'Założenia,wskaźniki, listy'!$F$47,IF(L93="olej opałowy",R93*'Założenia,wskaźniki, listy'!$G$47,IF(L93="sieć ciepłownicza",0,IF(L93="prąd",0,0)))))))</f>
        <v>1.526175E-5</v>
      </c>
      <c r="X93" s="639">
        <f>IF(L93="węgiel",R93*'Założenia,wskaźniki, listy'!$C$48, IF(L93="gaz",R93*'Założenia,wskaźniki, listy'!$D$48,IF(L93="drewno",R93*'Założenia,wskaźniki, listy'!$E$48,IF(L93="pelet",R93*'Założenia,wskaźniki, listy'!$F$48,IF(L93="olej opałowy",R93*'Założenia,wskaźniki, listy'!$G$48,IF(L93="sieć ciepłownicza",0,IF(L93="prąd",0,0)))))))</f>
        <v>5.0872499999999994E-2</v>
      </c>
      <c r="Y93" s="639">
        <f>IF(L93="węgiel",R93*'Założenia,wskaźniki, listy'!$C$49, IF(L93="gaz",R93*'Założenia,wskaźniki, listy'!$D$49, IF(L93="drewno",R93*'Założenia,wskaźniki, listy'!$E$49,IF(L93="pelet",R93*'Założenia,wskaźniki, listy'!$F$49,IF(L93="olej opałowy",R93*'Założenia,wskaźniki, listy'!$G$49,IF(L93="sieć ciepłownicza",0,IF(L93="prąd",0,0)))))))</f>
        <v>8.93095E-3</v>
      </c>
      <c r="Z93" s="639">
        <f>IF(L93="węgiel",R93*'Założenia,wskaźniki, listy'!$C$50,IF(L93="gaz",R93*'Założenia,wskaźniki, listy'!$D$50, IF(L93="drewno",R93*'Założenia,wskaźniki, listy'!$E$50,IF(L93="pelet",R93*'Założenia,wskaźniki, listy'!$F$50,IF(L93="pelet",R93*'Założenia,wskaźniki, listy'!$F$50,IF(L93="olej opałowy",R93*'Założenia,wskaźniki, listy'!$G$50,IF(L93="sieć ciepłownicza",0,IF(L93="prąd",0,0))))))))</f>
        <v>0.11370697362539113</v>
      </c>
      <c r="AA93" s="639">
        <f>IF(N93="węgiel",Q93*'Założenia,wskaźniki, listy'!$C$44,IF(N93="gaz",Q93*'Założenia,wskaźniki, listy'!$D$44,IF(N93="drewno",Q93*'Założenia,wskaźniki, listy'!$E$44,IF(N93="pelet",Q93*'Założenia,wskaźniki, listy'!$G$44,IF(N93="olej opałowy",Q93*'Założenia,wskaźniki, listy'!$G$44,IF(N93="sieć ciepłownicza",0,IF(N93="prąd",0,0)))))))</f>
        <v>0</v>
      </c>
      <c r="AB93" s="639">
        <f>IF(N93="węgiel",Q93*'Założenia,wskaźniki, listy'!$C$45,IF(N93="gaz",Q93*'Założenia,wskaźniki, listy'!$D$45,IF(N93="drewno",Q93*'Założenia,wskaźniki, listy'!$E$45,IF(N93="pelet",Q93*'Założenia,wskaźniki, listy'!$G$45,IF(N93="olej opałowy",Q93*'Założenia,wskaźniki, listy'!$G$45,IF(N93="sieć ciepłownicza",0,IF(N93="prąd",0,0)))))))</f>
        <v>0</v>
      </c>
      <c r="AC93" s="639">
        <f>IF(N93="węgiel",Q93*'Założenia,wskaźniki, listy'!$C$46,IF(N93="gaz",Q93*'Założenia,wskaźniki, listy'!$D$46,IF(N93="drewno",Q93*'Założenia,wskaźniki, listy'!$E$46,IF(N93="pelet",Q93*'Założenia,wskaźniki, listy'!$G$46,IF(N93="olej opałowy",Q93*'Założenia,wskaźniki, listy'!$G$46,IF(N93="sieć ciepłownicza",0,IF(N93="prąd",0,0)))))))</f>
        <v>0</v>
      </c>
      <c r="AD93" s="639">
        <f>IF(N93="węgiel",Q93*'Założenia,wskaźniki, listy'!$C$47,IF(N93="gaz",Q93*'Założenia,wskaźniki, listy'!$D$47,IF(N93="drewno",Q93*'Założenia,wskaźniki, listy'!$E$47,IF(N93="pelet",Q93*'Założenia,wskaźniki, listy'!$G$47,IF(N93="olej opałowy",Q93*'Założenia,wskaźniki, listy'!$G$47,IF(N93="sieć ciepłownicza",0,IF(N93="prąd",0,0)))))))</f>
        <v>0</v>
      </c>
      <c r="AE93" s="639">
        <f>IF(N93="węgiel",Q93*'Założenia,wskaźniki, listy'!$C$48,IF(N93="gaz",Q93*'Założenia,wskaźniki, listy'!$D$48,IF(N93="drewno",Q93*'Założenia,wskaźniki, listy'!$E$48,IF(N93="pelet",Q93*'Założenia,wskaźniki, listy'!$G$48,IF(N93="olej opałowy",Q93*'Założenia,wskaźniki, listy'!$G$48,IF(N93="sieć ciepłownicza",0,IF(N93="prąd",0,0)))))))</f>
        <v>0</v>
      </c>
      <c r="AF93" s="639">
        <f>IF(N93="węgiel",Q93*'Założenia,wskaźniki, listy'!$C$49,IF(N93="gaz",Q93*'Założenia,wskaźniki, listy'!$D$49,IF(N93="drewno",Q93*'Założenia,wskaźniki, listy'!$E$49,IF(N93="pelet",Q93*'Założenia,wskaźniki, listy'!$G$49,IF(N93="olej opałowy",Q93*'Założenia,wskaźniki, listy'!$G$49,IF(N93="sieć ciepłownicza",0,IF(N93="prąd",0,0)))))))</f>
        <v>0</v>
      </c>
      <c r="AG93" s="639">
        <f>IF(N93="węgiel",Q93*'Założenia,wskaźniki, listy'!$C$50,IF(N93="gaz",Q93*'Założenia,wskaźniki, listy'!$D$50,IF(N93="drewno",Q93*'Założenia,wskaźniki, listy'!$E$50,IF(N93="pelet",Q93*'Założenia,wskaźniki, listy'!$G$50,IF(N93="olej opałowy",Q93*'Założenia,wskaźniki, listy'!$G$50,IF(N93="sieć ciepłownicza",0,IF(N93="prąd",0,0)))))))</f>
        <v>0</v>
      </c>
      <c r="AH93" s="640">
        <f>IF(L93="węgiel",(P93+R93)/2*'Założenia,wskaźniki, listy'!$C$4,IF(L93="gaz",(P93+R93)/2*'Założenia,wskaźniki, listy'!$C$5,IF(L93="drewno",(P93+R93)/2*'Założenia,wskaźniki, listy'!$C$6,IF(L93="pelet",(P93+R93)/2*'Założenia,wskaźniki, listy'!$C$7,IF(L93="olej opałowy",(P93+R93)/2*'Założenia,wskaźniki, listy'!$C$8,IF(L93="sieć ciepłownicza",(P93+R93)/2*'Założenia,wskaźniki, listy'!$C$9,IF(L93="sieć ciepłownicza",(P93+R93)/2*'Założenia,wskaźniki, listy'!$C$10,)))))))</f>
        <v>2265.7625000000003</v>
      </c>
      <c r="AI93" s="640">
        <f>IF(N93="węgiel",Q93*'Założenia,wskaźniki, listy'!$C$4,IF(N93="gaz",Q93*'Założenia,wskaźniki, listy'!$C$5,IF(N93="drewno",Q93*'Założenia,wskaźniki, listy'!$C$6,IF(N93="pelet",Q93*'Założenia,wskaźniki, listy'!$C$7,IF(N93="olej opałowy",Q93*'Założenia,wskaźniki, listy'!$C$8,IF(N93="sieć ciepłownicza",Q93*'Założenia,wskaźniki, listy'!$C$9,IF(N93="sieć ciepłownicza",Q93*'Założenia,wskaźniki, listy'!$C$10,0)))))))</f>
        <v>0</v>
      </c>
      <c r="AJ93" s="640">
        <f>S93*'Założenia,wskaźniki, listy'!$B$64*1000</f>
        <v>1521.6719999999998</v>
      </c>
      <c r="AK93" s="640">
        <f>(H93+I93)*'Założenia,wskaźniki, listy'!$D$64*12</f>
        <v>0</v>
      </c>
      <c r="AL93" s="640">
        <f>AK93*'Założenia,wskaźniki, listy'!$F$64</f>
        <v>0</v>
      </c>
      <c r="AM93" s="639">
        <f t="shared" si="128"/>
        <v>1.2718124999999999E-2</v>
      </c>
      <c r="AN93" s="639">
        <f t="shared" si="129"/>
        <v>1.1361525000000001E-2</v>
      </c>
      <c r="AO93" s="639">
        <f>V93+AC93+S93*'Założenia,wskaźniki, listy'!$J$46</f>
        <v>7.0807242999999991</v>
      </c>
      <c r="AP93" s="639">
        <f t="shared" si="130"/>
        <v>1.526175E-5</v>
      </c>
      <c r="AQ93" s="639">
        <f t="shared" si="131"/>
        <v>5.0872499999999994E-2</v>
      </c>
      <c r="AR93" s="639">
        <f t="shared" si="132"/>
        <v>8.93095E-3</v>
      </c>
      <c r="AS93" s="639">
        <f t="shared" si="133"/>
        <v>0.11370697362539113</v>
      </c>
      <c r="AT93" s="647"/>
      <c r="AU93" s="647"/>
      <c r="AV93" s="624" t="b">
        <f t="shared" si="135"/>
        <v>0</v>
      </c>
      <c r="AW93" s="624" t="b">
        <f t="shared" si="136"/>
        <v>0</v>
      </c>
      <c r="AX93" s="624">
        <f t="shared" si="137"/>
        <v>60</v>
      </c>
      <c r="AY93" s="624" t="b">
        <f t="shared" si="138"/>
        <v>0</v>
      </c>
      <c r="AZ93" s="624" t="b">
        <f t="shared" si="139"/>
        <v>0</v>
      </c>
      <c r="BA93" s="624" t="b">
        <f t="shared" si="140"/>
        <v>0</v>
      </c>
      <c r="BB93" s="624" t="b">
        <f t="shared" si="141"/>
        <v>0</v>
      </c>
      <c r="BC93" s="624" t="b">
        <f t="shared" si="142"/>
        <v>0</v>
      </c>
      <c r="BD93" s="624" t="b">
        <f t="shared" si="143"/>
        <v>0</v>
      </c>
      <c r="BE93" s="624" t="b">
        <f t="shared" si="144"/>
        <v>0</v>
      </c>
      <c r="BF93" s="624">
        <f t="shared" si="145"/>
        <v>56.524999999999999</v>
      </c>
      <c r="BG93" s="624" t="b">
        <f t="shared" si="146"/>
        <v>0</v>
      </c>
      <c r="BH93" s="624" t="b">
        <f t="shared" si="147"/>
        <v>0</v>
      </c>
      <c r="BI93" s="624" t="b">
        <f t="shared" si="148"/>
        <v>0</v>
      </c>
      <c r="BJ93" s="624" t="b">
        <f t="shared" si="149"/>
        <v>0</v>
      </c>
      <c r="BK93" s="624" t="b">
        <f t="shared" si="150"/>
        <v>0</v>
      </c>
      <c r="BL93" s="624" t="b">
        <f t="shared" si="151"/>
        <v>0</v>
      </c>
      <c r="BM93" s="624" t="b">
        <f t="shared" si="152"/>
        <v>0</v>
      </c>
      <c r="BN93" s="624" t="b">
        <f t="shared" si="153"/>
        <v>0</v>
      </c>
      <c r="BO93" s="624" t="b">
        <f t="shared" si="154"/>
        <v>0</v>
      </c>
      <c r="BP93" s="624" t="b">
        <f t="shared" si="155"/>
        <v>0</v>
      </c>
      <c r="BQ93" s="624" t="b">
        <f t="shared" si="156"/>
        <v>0</v>
      </c>
    </row>
    <row r="94" spans="1:70">
      <c r="A94" s="1087"/>
      <c r="B94" s="872"/>
      <c r="C94" s="874"/>
      <c r="D94" s="645"/>
      <c r="E94" s="645"/>
      <c r="F94" s="644"/>
      <c r="G94" s="644"/>
      <c r="H94" s="644"/>
      <c r="I94" s="635"/>
      <c r="J94" s="644">
        <f>IF(F94&lt;=1966,'Założenia,wskaźniki, listy'!$H$4,IF(F94&gt;1966,IF(F94&lt;=1985,'Założenia,wskaźniki, listy'!$H$5,IF(F94&gt;1985,IF(F94&lt;=1992,'Założenia,wskaźniki, listy'!$H$6,IF(F94&gt;1992,IF(F94&lt;=1996,'Założenia,wskaźniki, listy'!$H$7,IF(F94&gt;1996,IF(F94&lt;=2015,'Założenia,wskaźniki, listy'!$H$8)))))))))</f>
        <v>290</v>
      </c>
      <c r="K94" s="864"/>
      <c r="L94" s="644"/>
      <c r="M94" s="644"/>
      <c r="N94" s="644"/>
      <c r="O94" s="637">
        <f t="shared" si="134"/>
        <v>0</v>
      </c>
      <c r="P94" s="646">
        <f>IF(K94="kompletna",J94*G94*0.0036*'Założenia,wskaźniki, listy'!$P$9,IF(K94="częściowa",J94*G94*0.0036*'Założenia,wskaźniki, listy'!$P$10,IF(K94="brak",J94*G94*0.0036*'Założenia,wskaźniki, listy'!$P$11,0)))</f>
        <v>0</v>
      </c>
      <c r="Q94" s="638">
        <f>H94*'Założenia,wskaźniki, listy'!$L$15</f>
        <v>0</v>
      </c>
      <c r="R94" s="635">
        <f>IF(L94="węgiel",'Mieszkalne - baza'!M94*'Założenia,wskaźniki, listy'!$B$4,IF(L94="gaz",'Mieszkalne - baza'!M94*'Założenia,wskaźniki, listy'!$B$5,IF(L94="drewno",'Mieszkalne - baza'!M94*'Założenia,wskaźniki, listy'!$B$6,IF(L94="pelet",'Mieszkalne - baza'!M94*'Założenia,wskaźniki, listy'!$B$7,IF(L94="olej opałowy",'Mieszkalne - baza'!M94*'Założenia,wskaźniki, listy'!$B$8,IF(L94="sieć ciepłownicza",0,0))))))</f>
        <v>0</v>
      </c>
      <c r="S94" s="1085"/>
      <c r="T94" s="639">
        <f>IF(L94="węgiel",R94*'Założenia,wskaźniki, listy'!$C$44,IF(L94="gaz",R94*'Założenia,wskaźniki, listy'!$D$44,IF(L94="drewno",R94*'Założenia,wskaźniki, listy'!$E$44,IF(L94="pelet",R94*'Założenia,wskaźniki, listy'!$F$44,IF(L94="olej opałowy",R94*'Założenia,wskaźniki, listy'!$G$44,IF(L94="sieć ciepłownicza",0,IF(L94="prąd",0,0)))))))</f>
        <v>0</v>
      </c>
      <c r="U94" s="639">
        <f>IF(L94="węgiel",R94*'Założenia,wskaźniki, listy'!$C$45,IF(L94="gaz",R94*'Założenia,wskaźniki, listy'!$D$45,IF(L94="drewno",R94*'Założenia,wskaźniki, listy'!$E$45,IF(L94="pelet",R94*'Założenia,wskaźniki, listy'!$F$45,IF(L94="olej opałowy",R94*'Założenia,wskaźniki, listy'!$G$45,IF(L94="sieć ciepłownicza",0,IF(L94="prąd",0,0)))))))</f>
        <v>0</v>
      </c>
      <c r="V94" s="639">
        <f>IF(L94="węgiel",R94*'Założenia,wskaźniki, listy'!$C$46,IF(L94="gaz",R94*'Założenia,wskaźniki, listy'!$D$46,IF(L94="drewno",R94*'Założenia,wskaźniki, listy'!$E$46,IF(L94="pelet",R94*'Założenia,wskaźniki, listy'!$F$46,IF(L94="olej opałowy",R94*'Założenia,wskaźniki, listy'!$G$46,IF(L94="sieć ciepłownicza",R94*'Założenia,wskaźniki, listy'!$H$46,IF(L94="prąd",R94*'Założenia,wskaźniki, listy'!$I$46,0)))))))</f>
        <v>0</v>
      </c>
      <c r="W94" s="639">
        <f>IF(L94="węgiel",R94*'Założenia,wskaźniki, listy'!$C$47,IF(L94="gaz",R94*'Założenia,wskaźniki, listy'!$D$47,IF(L94="drewno",R94*'Założenia,wskaźniki, listy'!$E$47,IF(L94="pelet",R94*'Założenia,wskaźniki, listy'!$F$47,IF(L94="olej opałowy",R94*'Założenia,wskaźniki, listy'!$G$47,IF(L94="sieć ciepłownicza",0,IF(L94="prąd",0,0)))))))</f>
        <v>0</v>
      </c>
      <c r="X94" s="639">
        <f>IF(L94="węgiel",R94*'Założenia,wskaźniki, listy'!$C$48, IF(L94="gaz",R94*'Założenia,wskaźniki, listy'!$D$48,IF(L94="drewno",R94*'Założenia,wskaźniki, listy'!$E$48,IF(L94="pelet",R94*'Założenia,wskaźniki, listy'!$F$48,IF(L94="olej opałowy",R94*'Założenia,wskaźniki, listy'!$G$48,IF(L94="sieć ciepłownicza",0,IF(L94="prąd",0,0)))))))</f>
        <v>0</v>
      </c>
      <c r="Y94" s="639">
        <f>IF(L94="węgiel",R94*'Założenia,wskaźniki, listy'!$C$49, IF(L94="gaz",R94*'Założenia,wskaźniki, listy'!$D$49, IF(L94="drewno",R94*'Założenia,wskaźniki, listy'!$E$49,IF(L94="pelet",R94*'Założenia,wskaźniki, listy'!$F$49,IF(L94="olej opałowy",R94*'Założenia,wskaźniki, listy'!$G$49,IF(L94="sieć ciepłownicza",0,IF(L94="prąd",0,0)))))))</f>
        <v>0</v>
      </c>
      <c r="Z94" s="639">
        <f>IF(L94="węgiel",R94*'Założenia,wskaźniki, listy'!$C$50,IF(L94="gaz",R94*'Założenia,wskaźniki, listy'!$D$50, IF(L94="drewno",R94*'Założenia,wskaźniki, listy'!$E$50,IF(L94="pelet",R94*'Założenia,wskaźniki, listy'!$F$50,IF(L94="pelet",R94*'Założenia,wskaźniki, listy'!$F$50,IF(L94="olej opałowy",R94*'Założenia,wskaźniki, listy'!$G$50,IF(L94="sieć ciepłownicza",0,IF(L94="prąd",0,0))))))))</f>
        <v>0</v>
      </c>
      <c r="AA94" s="639">
        <f>IF(N94="węgiel",Q94*'Założenia,wskaźniki, listy'!$C$44,IF(N94="gaz",Q94*'Założenia,wskaźniki, listy'!$D$44,IF(N94="drewno",Q94*'Założenia,wskaźniki, listy'!$E$44,IF(N94="pelet",Q94*'Założenia,wskaźniki, listy'!$G$44,IF(N94="olej opałowy",Q94*'Założenia,wskaźniki, listy'!$G$44,IF(N94="sieć ciepłownicza",0,IF(N94="prąd",0,0)))))))</f>
        <v>0</v>
      </c>
      <c r="AB94" s="639">
        <f>IF(N94="węgiel",Q94*'Założenia,wskaźniki, listy'!$C$45,IF(N94="gaz",Q94*'Założenia,wskaźniki, listy'!$D$45,IF(N94="drewno",Q94*'Założenia,wskaźniki, listy'!$E$45,IF(N94="pelet",Q94*'Założenia,wskaźniki, listy'!$G$45,IF(N94="olej opałowy",Q94*'Założenia,wskaźniki, listy'!$G$45,IF(N94="sieć ciepłownicza",0,IF(N94="prąd",0,0)))))))</f>
        <v>0</v>
      </c>
      <c r="AC94" s="639">
        <f>IF(N94="węgiel",Q94*'Założenia,wskaźniki, listy'!$C$46,IF(N94="gaz",Q94*'Założenia,wskaźniki, listy'!$D$46,IF(N94="drewno",Q94*'Założenia,wskaźniki, listy'!$E$46,IF(N94="pelet",Q94*'Założenia,wskaźniki, listy'!$G$46,IF(N94="olej opałowy",Q94*'Założenia,wskaźniki, listy'!$G$46,IF(N94="sieć ciepłownicza",0,IF(N94="prąd",0,0)))))))</f>
        <v>0</v>
      </c>
      <c r="AD94" s="639">
        <f>IF(N94="węgiel",Q94*'Założenia,wskaźniki, listy'!$C$47,IF(N94="gaz",Q94*'Założenia,wskaźniki, listy'!$D$47,IF(N94="drewno",Q94*'Założenia,wskaźniki, listy'!$E$47,IF(N94="pelet",Q94*'Założenia,wskaźniki, listy'!$G$47,IF(N94="olej opałowy",Q94*'Założenia,wskaźniki, listy'!$G$47,IF(N94="sieć ciepłownicza",0,IF(N94="prąd",0,0)))))))</f>
        <v>0</v>
      </c>
      <c r="AE94" s="639">
        <f>IF(N94="węgiel",Q94*'Założenia,wskaźniki, listy'!$C$48,IF(N94="gaz",Q94*'Założenia,wskaźniki, listy'!$D$48,IF(N94="drewno",Q94*'Założenia,wskaźniki, listy'!$E$48,IF(N94="pelet",Q94*'Założenia,wskaźniki, listy'!$G$48,IF(N94="olej opałowy",Q94*'Założenia,wskaźniki, listy'!$G$48,IF(N94="sieć ciepłownicza",0,IF(N94="prąd",0,0)))))))</f>
        <v>0</v>
      </c>
      <c r="AF94" s="639">
        <f>IF(N94="węgiel",Q94*'Założenia,wskaźniki, listy'!$C$49,IF(N94="gaz",Q94*'Założenia,wskaźniki, listy'!$D$49,IF(N94="drewno",Q94*'Założenia,wskaźniki, listy'!$E$49,IF(N94="pelet",Q94*'Założenia,wskaźniki, listy'!$G$49,IF(N94="olej opałowy",Q94*'Założenia,wskaźniki, listy'!$G$49,IF(N94="sieć ciepłownicza",0,IF(N94="prąd",0,0)))))))</f>
        <v>0</v>
      </c>
      <c r="AG94" s="639">
        <f>IF(N94="węgiel",Q94*'Założenia,wskaźniki, listy'!$C$50,IF(N94="gaz",Q94*'Założenia,wskaźniki, listy'!$D$50,IF(N94="drewno",Q94*'Założenia,wskaźniki, listy'!$E$50,IF(N94="pelet",Q94*'Założenia,wskaźniki, listy'!$G$50,IF(N94="olej opałowy",Q94*'Założenia,wskaźniki, listy'!$G$50,IF(N94="sieć ciepłownicza",0,IF(N94="prąd",0,0)))))))</f>
        <v>0</v>
      </c>
      <c r="AH94" s="640">
        <f>IF(L94="węgiel",(P94+R94)/2*'Założenia,wskaźniki, listy'!$C$4,IF(L94="gaz",(P94+R94)/2*'Założenia,wskaźniki, listy'!$C$5,IF(L94="drewno",(P94+R94)/2*'Założenia,wskaźniki, listy'!$C$6,IF(L94="pelet",(P94+R94)/2*'Założenia,wskaźniki, listy'!$C$7,IF(L94="olej opałowy",(P94+R94)/2*'Założenia,wskaźniki, listy'!$C$8,IF(L94="sieć ciepłownicza",(P94+R94)/2*'Założenia,wskaźniki, listy'!$C$9,IF(L94="sieć ciepłownicza",(P94+R94)/2*'Założenia,wskaźniki, listy'!$C$10,)))))))</f>
        <v>0</v>
      </c>
      <c r="AI94" s="640">
        <f>IF(N94="węgiel",Q94*'Założenia,wskaźniki, listy'!$C$4,IF(N94="gaz",Q94*'Założenia,wskaźniki, listy'!$C$5,IF(N94="drewno",Q94*'Założenia,wskaźniki, listy'!$C$6,IF(N94="pelet",Q94*'Założenia,wskaźniki, listy'!$C$7,IF(N94="olej opałowy",Q94*'Założenia,wskaźniki, listy'!$C$8,IF(N94="sieć ciepłownicza",Q94*'Założenia,wskaźniki, listy'!$C$9,IF(N94="sieć ciepłownicza",Q94*'Założenia,wskaźniki, listy'!$C$10,0)))))))</f>
        <v>0</v>
      </c>
      <c r="AJ94" s="640">
        <f>S94*'Założenia,wskaźniki, listy'!$B$64*1000</f>
        <v>0</v>
      </c>
      <c r="AK94" s="640">
        <f>(H94+I94)*'Założenia,wskaźniki, listy'!$D$64*12</f>
        <v>0</v>
      </c>
      <c r="AL94" s="640">
        <f>AK94*'Założenia,wskaźniki, listy'!$F$64</f>
        <v>0</v>
      </c>
      <c r="AM94" s="639">
        <f t="shared" si="128"/>
        <v>0</v>
      </c>
      <c r="AN94" s="639">
        <f t="shared" si="129"/>
        <v>0</v>
      </c>
      <c r="AO94" s="639">
        <f>V94+AC94+S94*'Założenia,wskaźniki, listy'!$J$46</f>
        <v>0</v>
      </c>
      <c r="AP94" s="639">
        <f t="shared" si="130"/>
        <v>0</v>
      </c>
      <c r="AQ94" s="639">
        <f t="shared" si="131"/>
        <v>0</v>
      </c>
      <c r="AR94" s="639">
        <f t="shared" si="132"/>
        <v>0</v>
      </c>
      <c r="AS94" s="639">
        <f t="shared" si="133"/>
        <v>0</v>
      </c>
      <c r="AT94" s="647"/>
      <c r="AU94" s="647"/>
      <c r="AV94" s="624">
        <f t="shared" si="135"/>
        <v>0</v>
      </c>
      <c r="AW94" s="624" t="b">
        <f t="shared" si="136"/>
        <v>0</v>
      </c>
      <c r="AX94" s="624" t="b">
        <f t="shared" si="137"/>
        <v>0</v>
      </c>
      <c r="AY94" s="624" t="b">
        <f t="shared" si="138"/>
        <v>0</v>
      </c>
      <c r="AZ94" s="624" t="b">
        <f t="shared" si="139"/>
        <v>0</v>
      </c>
      <c r="BA94" s="624" t="b">
        <f t="shared" si="140"/>
        <v>0</v>
      </c>
      <c r="BB94" s="624" t="b">
        <f t="shared" si="141"/>
        <v>0</v>
      </c>
      <c r="BC94" s="624" t="b">
        <f t="shared" si="142"/>
        <v>0</v>
      </c>
      <c r="BD94" s="624" t="b">
        <f t="shared" si="143"/>
        <v>0</v>
      </c>
      <c r="BE94" s="624" t="b">
        <f t="shared" si="144"/>
        <v>0</v>
      </c>
      <c r="BF94" s="624" t="b">
        <f t="shared" si="145"/>
        <v>0</v>
      </c>
      <c r="BG94" s="624" t="b">
        <f t="shared" si="146"/>
        <v>0</v>
      </c>
      <c r="BH94" s="624" t="b">
        <f t="shared" si="147"/>
        <v>0</v>
      </c>
      <c r="BI94" s="624" t="b">
        <f t="shared" si="148"/>
        <v>0</v>
      </c>
      <c r="BJ94" s="624" t="b">
        <f t="shared" si="149"/>
        <v>0</v>
      </c>
      <c r="BK94" s="624" t="b">
        <f t="shared" si="150"/>
        <v>0</v>
      </c>
      <c r="BL94" s="624" t="b">
        <f t="shared" si="151"/>
        <v>0</v>
      </c>
      <c r="BM94" s="624" t="b">
        <f t="shared" si="152"/>
        <v>0</v>
      </c>
      <c r="BN94" s="624" t="b">
        <f t="shared" si="153"/>
        <v>0</v>
      </c>
      <c r="BO94" s="624" t="b">
        <f t="shared" si="154"/>
        <v>0</v>
      </c>
      <c r="BP94" s="624" t="b">
        <f t="shared" si="155"/>
        <v>0</v>
      </c>
      <c r="BQ94" s="624" t="b">
        <f t="shared" si="156"/>
        <v>0</v>
      </c>
    </row>
    <row r="95" spans="1:70">
      <c r="A95" s="1086">
        <v>46</v>
      </c>
      <c r="B95" s="872" t="s">
        <v>21</v>
      </c>
      <c r="C95" s="873" t="s">
        <v>621</v>
      </c>
      <c r="D95" s="645" t="s">
        <v>628</v>
      </c>
      <c r="E95" s="645">
        <v>16</v>
      </c>
      <c r="F95" s="644">
        <v>1990</v>
      </c>
      <c r="G95" s="644">
        <v>130</v>
      </c>
      <c r="H95" s="644"/>
      <c r="I95" s="635"/>
      <c r="J95" s="644">
        <f>IF(F95&lt;=1966,'Założenia,wskaźniki, listy'!$H$4,IF(F95&gt;1966,IF(F95&lt;=1985,'Założenia,wskaźniki, listy'!$H$5,IF(F95&gt;1985,IF(F95&lt;=1992,'Założenia,wskaźniki, listy'!$H$6,IF(F95&gt;1992,IF(F95&lt;=1996,'Założenia,wskaźniki, listy'!$H$7,IF(F95&gt;1996,IF(F95&lt;=2015,'Założenia,wskaźniki, listy'!$H$8)))))))))</f>
        <v>175</v>
      </c>
      <c r="K95" s="864" t="s">
        <v>33</v>
      </c>
      <c r="L95" s="644" t="s">
        <v>8</v>
      </c>
      <c r="M95" s="644">
        <v>2.5</v>
      </c>
      <c r="N95" s="644"/>
      <c r="O95" s="637">
        <f t="shared" si="134"/>
        <v>61.022499999999994</v>
      </c>
      <c r="P95" s="646">
        <f>IF(K95="kompletna",J95*G95*0.0036*'Założenia,wskaźniki, listy'!$P$9,IF(K95="częściowa",J95*G95*0.0036*'Założenia,wskaźniki, listy'!$P$10,IF(K95="brak",J95*G95*0.0036*'Założenia,wskaźniki, listy'!$P$11,0)))</f>
        <v>65.52</v>
      </c>
      <c r="Q95" s="638">
        <f>H95*'Założenia,wskaźniki, listy'!$L$15</f>
        <v>0</v>
      </c>
      <c r="R95" s="635">
        <f>IF(L95="węgiel",'Mieszkalne - baza'!M95*'Założenia,wskaźniki, listy'!$B$4,IF(L95="gaz",'Mieszkalne - baza'!M95*'Założenia,wskaźniki, listy'!$B$5,IF(L95="drewno",'Mieszkalne - baza'!M95*'Założenia,wskaźniki, listy'!$B$6,IF(L95="pelet",'Mieszkalne - baza'!M95*'Założenia,wskaźniki, listy'!$B$7,IF(L95="olej opałowy",'Mieszkalne - baza'!M95*'Założenia,wskaźniki, listy'!$B$8,IF(L95="sieć ciepłownicza",0,0))))))</f>
        <v>56.524999999999999</v>
      </c>
      <c r="S95" s="1084">
        <v>1.6355999999999999</v>
      </c>
      <c r="T95" s="639">
        <f>IF(L95="węgiel",R95*'Założenia,wskaźniki, listy'!$C$44,IF(L95="gaz",R95*'Założenia,wskaźniki, listy'!$D$44,IF(L95="drewno",R95*'Założenia,wskaźniki, listy'!$E$44,IF(L95="pelet",R95*'Założenia,wskaźniki, listy'!$F$44,IF(L95="olej opałowy",R95*'Założenia,wskaźniki, listy'!$G$44,IF(L95="sieć ciepłownicza",0,IF(L95="prąd",0,0)))))))</f>
        <v>1.2718124999999999E-2</v>
      </c>
      <c r="U95" s="639">
        <f>IF(L95="węgiel",R95*'Założenia,wskaźniki, listy'!$C$45,IF(L95="gaz",R95*'Założenia,wskaźniki, listy'!$D$45,IF(L95="drewno",R95*'Założenia,wskaźniki, listy'!$E$45,IF(L95="pelet",R95*'Założenia,wskaźniki, listy'!$F$45,IF(L95="olej opałowy",R95*'Założenia,wskaźniki, listy'!$G$45,IF(L95="sieć ciepłownicza",0,IF(L95="prąd",0,0)))))))</f>
        <v>1.1361525000000001E-2</v>
      </c>
      <c r="V95" s="639">
        <f>IF(L95="węgiel",R95*'Założenia,wskaźniki, listy'!$C$46,IF(L95="gaz",R95*'Założenia,wskaźniki, listy'!$D$46,IF(L95="drewno",R95*'Założenia,wskaźniki, listy'!$E$46,IF(L95="pelet",R95*'Założenia,wskaźniki, listy'!$F$46,IF(L95="olej opałowy",R95*'Założenia,wskaźniki, listy'!$G$46,IF(L95="sieć ciepłownicza",R95*'Założenia,wskaźniki, listy'!$H$46,IF(L95="prąd",R95*'Założenia,wskaźniki, listy'!$I$46,0)))))))</f>
        <v>5.2986534999999995</v>
      </c>
      <c r="W95" s="639">
        <f>IF(L95="węgiel",R95*'Założenia,wskaźniki, listy'!$C$47,IF(L95="gaz",R95*'Założenia,wskaźniki, listy'!$D$47,IF(L95="drewno",R95*'Założenia,wskaźniki, listy'!$E$47,IF(L95="pelet",R95*'Założenia,wskaźniki, listy'!$F$47,IF(L95="olej opałowy",R95*'Założenia,wskaźniki, listy'!$G$47,IF(L95="sieć ciepłownicza",0,IF(L95="prąd",0,0)))))))</f>
        <v>1.526175E-5</v>
      </c>
      <c r="X95" s="639">
        <f>IF(L95="węgiel",R95*'Założenia,wskaźniki, listy'!$C$48, IF(L95="gaz",R95*'Założenia,wskaźniki, listy'!$D$48,IF(L95="drewno",R95*'Założenia,wskaźniki, listy'!$E$48,IF(L95="pelet",R95*'Założenia,wskaźniki, listy'!$F$48,IF(L95="olej opałowy",R95*'Założenia,wskaźniki, listy'!$G$48,IF(L95="sieć ciepłownicza",0,IF(L95="prąd",0,0)))))))</f>
        <v>5.0872499999999994E-2</v>
      </c>
      <c r="Y95" s="639">
        <f>IF(L95="węgiel",R95*'Założenia,wskaźniki, listy'!$C$49, IF(L95="gaz",R95*'Założenia,wskaźniki, listy'!$D$49, IF(L95="drewno",R95*'Założenia,wskaźniki, listy'!$E$49,IF(L95="pelet",R95*'Założenia,wskaźniki, listy'!$F$49,IF(L95="olej opałowy",R95*'Założenia,wskaźniki, listy'!$G$49,IF(L95="sieć ciepłownicza",0,IF(L95="prąd",0,0)))))))</f>
        <v>8.93095E-3</v>
      </c>
      <c r="Z95" s="639">
        <f>IF(L95="węgiel",R95*'Założenia,wskaźniki, listy'!$C$50,IF(L95="gaz",R95*'Założenia,wskaźniki, listy'!$D$50, IF(L95="drewno",R95*'Założenia,wskaźniki, listy'!$E$50,IF(L95="pelet",R95*'Założenia,wskaźniki, listy'!$F$50,IF(L95="pelet",R95*'Założenia,wskaźniki, listy'!$F$50,IF(L95="olej opałowy",R95*'Założenia,wskaźniki, listy'!$G$50,IF(L95="sieć ciepłownicza",0,IF(L95="prąd",0,0))))))))</f>
        <v>0.11370697362539113</v>
      </c>
      <c r="AA95" s="639">
        <f>IF(N95="węgiel",Q95*'Założenia,wskaźniki, listy'!$C$44,IF(N95="gaz",Q95*'Założenia,wskaźniki, listy'!$D$44,IF(N95="drewno",Q95*'Założenia,wskaźniki, listy'!$E$44,IF(N95="pelet",Q95*'Założenia,wskaźniki, listy'!$G$44,IF(N95="olej opałowy",Q95*'Założenia,wskaźniki, listy'!$G$44,IF(N95="sieć ciepłownicza",0,IF(N95="prąd",0,0)))))))</f>
        <v>0</v>
      </c>
      <c r="AB95" s="639">
        <f>IF(N95="węgiel",Q95*'Założenia,wskaźniki, listy'!$C$45,IF(N95="gaz",Q95*'Założenia,wskaźniki, listy'!$D$45,IF(N95="drewno",Q95*'Założenia,wskaźniki, listy'!$E$45,IF(N95="pelet",Q95*'Założenia,wskaźniki, listy'!$G$45,IF(N95="olej opałowy",Q95*'Założenia,wskaźniki, listy'!$G$45,IF(N95="sieć ciepłownicza",0,IF(N95="prąd",0,0)))))))</f>
        <v>0</v>
      </c>
      <c r="AC95" s="639">
        <f>IF(N95="węgiel",Q95*'Założenia,wskaźniki, listy'!$C$46,IF(N95="gaz",Q95*'Założenia,wskaźniki, listy'!$D$46,IF(N95="drewno",Q95*'Założenia,wskaźniki, listy'!$E$46,IF(N95="pelet",Q95*'Założenia,wskaźniki, listy'!$G$46,IF(N95="olej opałowy",Q95*'Założenia,wskaźniki, listy'!$G$46,IF(N95="sieć ciepłownicza",0,IF(N95="prąd",0,0)))))))</f>
        <v>0</v>
      </c>
      <c r="AD95" s="639">
        <f>IF(N95="węgiel",Q95*'Założenia,wskaźniki, listy'!$C$47,IF(N95="gaz",Q95*'Założenia,wskaźniki, listy'!$D$47,IF(N95="drewno",Q95*'Założenia,wskaźniki, listy'!$E$47,IF(N95="pelet",Q95*'Założenia,wskaźniki, listy'!$G$47,IF(N95="olej opałowy",Q95*'Założenia,wskaźniki, listy'!$G$47,IF(N95="sieć ciepłownicza",0,IF(N95="prąd",0,0)))))))</f>
        <v>0</v>
      </c>
      <c r="AE95" s="639">
        <f>IF(N95="węgiel",Q95*'Założenia,wskaźniki, listy'!$C$48,IF(N95="gaz",Q95*'Założenia,wskaźniki, listy'!$D$48,IF(N95="drewno",Q95*'Założenia,wskaźniki, listy'!$E$48,IF(N95="pelet",Q95*'Założenia,wskaźniki, listy'!$G$48,IF(N95="olej opałowy",Q95*'Założenia,wskaźniki, listy'!$G$48,IF(N95="sieć ciepłownicza",0,IF(N95="prąd",0,0)))))))</f>
        <v>0</v>
      </c>
      <c r="AF95" s="639">
        <f>IF(N95="węgiel",Q95*'Założenia,wskaźniki, listy'!$C$49,IF(N95="gaz",Q95*'Założenia,wskaźniki, listy'!$D$49,IF(N95="drewno",Q95*'Założenia,wskaźniki, listy'!$E$49,IF(N95="pelet",Q95*'Założenia,wskaźniki, listy'!$G$49,IF(N95="olej opałowy",Q95*'Założenia,wskaźniki, listy'!$G$49,IF(N95="sieć ciepłownicza",0,IF(N95="prąd",0,0)))))))</f>
        <v>0</v>
      </c>
      <c r="AG95" s="639">
        <f>IF(N95="węgiel",Q95*'Założenia,wskaźniki, listy'!$C$50,IF(N95="gaz",Q95*'Założenia,wskaźniki, listy'!$D$50,IF(N95="drewno",Q95*'Założenia,wskaźniki, listy'!$E$50,IF(N95="pelet",Q95*'Założenia,wskaźniki, listy'!$G$50,IF(N95="olej opałowy",Q95*'Założenia,wskaźniki, listy'!$G$50,IF(N95="sieć ciepłownicza",0,IF(N95="prąd",0,0)))))))</f>
        <v>0</v>
      </c>
      <c r="AH95" s="640">
        <f>IF(L95="węgiel",(P95+R95)/2*'Założenia,wskaźniki, listy'!$C$4,IF(L95="gaz",(P95+R95)/2*'Założenia,wskaźniki, listy'!$C$5,IF(L95="drewno",(P95+R95)/2*'Założenia,wskaźniki, listy'!$C$6,IF(L95="pelet",(P95+R95)/2*'Założenia,wskaźniki, listy'!$C$7,IF(L95="olej opałowy",(P95+R95)/2*'Założenia,wskaźniki, listy'!$C$8,IF(L95="sieć ciepłownicza",(P95+R95)/2*'Założenia,wskaźniki, listy'!$C$9,IF(L95="sieć ciepłownicza",(P95+R95)/2*'Założenia,wskaźniki, listy'!$C$10,)))))))</f>
        <v>2501.9224999999997</v>
      </c>
      <c r="AI95" s="640">
        <f>IF(N95="węgiel",Q95*'Założenia,wskaźniki, listy'!$C$4,IF(N95="gaz",Q95*'Założenia,wskaźniki, listy'!$C$5,IF(N95="drewno",Q95*'Założenia,wskaźniki, listy'!$C$6,IF(N95="pelet",Q95*'Założenia,wskaźniki, listy'!$C$7,IF(N95="olej opałowy",Q95*'Założenia,wskaźniki, listy'!$C$8,IF(N95="sieć ciepłownicza",Q95*'Założenia,wskaźniki, listy'!$C$9,IF(N95="sieć ciepłownicza",Q95*'Założenia,wskaźniki, listy'!$C$10,0)))))))</f>
        <v>0</v>
      </c>
      <c r="AJ95" s="640">
        <f>S95*'Założenia,wskaźniki, listy'!$B$64*1000</f>
        <v>1161.2760000000001</v>
      </c>
      <c r="AK95" s="640">
        <f>(H95+I95)*'Założenia,wskaźniki, listy'!$D$64*12</f>
        <v>0</v>
      </c>
      <c r="AL95" s="640">
        <f>AK95*'Założenia,wskaźniki, listy'!$F$64</f>
        <v>0</v>
      </c>
      <c r="AM95" s="639">
        <f t="shared" si="128"/>
        <v>1.2718124999999999E-2</v>
      </c>
      <c r="AN95" s="639">
        <f t="shared" si="129"/>
        <v>1.1361525000000001E-2</v>
      </c>
      <c r="AO95" s="639">
        <f>V95+AC95+S95*'Założenia,wskaźniki, listy'!$J$46</f>
        <v>6.6586548999999993</v>
      </c>
      <c r="AP95" s="639">
        <f t="shared" si="130"/>
        <v>1.526175E-5</v>
      </c>
      <c r="AQ95" s="639">
        <f t="shared" si="131"/>
        <v>5.0872499999999994E-2</v>
      </c>
      <c r="AR95" s="639">
        <f t="shared" si="132"/>
        <v>8.93095E-3</v>
      </c>
      <c r="AS95" s="639">
        <f t="shared" si="133"/>
        <v>0.11370697362539113</v>
      </c>
      <c r="AT95" s="647"/>
      <c r="AU95" s="647"/>
      <c r="AV95" s="624" t="b">
        <f t="shared" si="135"/>
        <v>0</v>
      </c>
      <c r="AW95" s="624">
        <f t="shared" si="136"/>
        <v>0</v>
      </c>
      <c r="AX95" s="624" t="b">
        <f t="shared" si="137"/>
        <v>0</v>
      </c>
      <c r="AY95" s="624">
        <f t="shared" si="138"/>
        <v>0</v>
      </c>
      <c r="AZ95" s="624">
        <f t="shared" si="139"/>
        <v>130</v>
      </c>
      <c r="BA95" s="624">
        <f t="shared" si="140"/>
        <v>65</v>
      </c>
      <c r="BB95" s="624" t="b">
        <f t="shared" si="141"/>
        <v>0</v>
      </c>
      <c r="BC95" s="624">
        <f t="shared" si="142"/>
        <v>0</v>
      </c>
      <c r="BD95" s="624" t="b">
        <f t="shared" si="143"/>
        <v>0</v>
      </c>
      <c r="BE95" s="624">
        <f t="shared" si="144"/>
        <v>0</v>
      </c>
      <c r="BF95" s="624">
        <f t="shared" si="145"/>
        <v>56.524999999999999</v>
      </c>
      <c r="BG95" s="624" t="b">
        <f t="shared" si="146"/>
        <v>0</v>
      </c>
      <c r="BH95" s="624" t="b">
        <f t="shared" si="147"/>
        <v>0</v>
      </c>
      <c r="BI95" s="624" t="b">
        <f t="shared" si="148"/>
        <v>0</v>
      </c>
      <c r="BJ95" s="624" t="b">
        <f t="shared" si="149"/>
        <v>0</v>
      </c>
      <c r="BK95" s="624" t="b">
        <f t="shared" si="150"/>
        <v>0</v>
      </c>
      <c r="BL95" s="624" t="b">
        <f t="shared" si="151"/>
        <v>0</v>
      </c>
      <c r="BM95" s="624" t="b">
        <f t="shared" si="152"/>
        <v>0</v>
      </c>
      <c r="BN95" s="624" t="b">
        <f t="shared" si="153"/>
        <v>0</v>
      </c>
      <c r="BO95" s="624" t="b">
        <f t="shared" si="154"/>
        <v>0</v>
      </c>
      <c r="BP95" s="624" t="b">
        <f t="shared" si="155"/>
        <v>0</v>
      </c>
      <c r="BQ95" s="624" t="b">
        <f t="shared" si="156"/>
        <v>0</v>
      </c>
    </row>
    <row r="96" spans="1:70">
      <c r="A96" s="1087"/>
      <c r="B96" s="872"/>
      <c r="C96" s="872"/>
      <c r="D96" s="645"/>
      <c r="E96" s="645"/>
      <c r="F96" s="644"/>
      <c r="G96" s="644"/>
      <c r="H96" s="644"/>
      <c r="I96" s="635"/>
      <c r="J96" s="644">
        <f>IF(F96&lt;=1966,'Założenia,wskaźniki, listy'!$H$4,IF(F96&gt;1966,IF(F96&lt;=1985,'Założenia,wskaźniki, listy'!$H$5,IF(F96&gt;1985,IF(F96&lt;=1992,'Założenia,wskaźniki, listy'!$H$6,IF(F96&gt;1992,IF(F96&lt;=1996,'Założenia,wskaźniki, listy'!$H$7,IF(F96&gt;1996,IF(F96&lt;=2015,'Założenia,wskaźniki, listy'!$H$8)))))))))</f>
        <v>290</v>
      </c>
      <c r="K96" s="864"/>
      <c r="L96" s="644"/>
      <c r="M96" s="644"/>
      <c r="N96" s="644"/>
      <c r="O96" s="637">
        <f t="shared" si="134"/>
        <v>0</v>
      </c>
      <c r="P96" s="646">
        <f>IF(K96="kompletna",J96*G96*0.0036*'Założenia,wskaźniki, listy'!$P$9,IF(K96="częściowa",J96*G96*0.0036*'Założenia,wskaźniki, listy'!$P$10,IF(K96="brak",J96*G96*0.0036*'Założenia,wskaźniki, listy'!$P$11,0)))</f>
        <v>0</v>
      </c>
      <c r="Q96" s="638">
        <f>H96*'Założenia,wskaźniki, listy'!$L$15</f>
        <v>0</v>
      </c>
      <c r="R96" s="635">
        <f>IF(L96="węgiel",'Mieszkalne - baza'!M96*'Założenia,wskaźniki, listy'!$B$4,IF(L96="gaz",'Mieszkalne - baza'!M96*'Założenia,wskaźniki, listy'!$B$5,IF(L96="drewno",'Mieszkalne - baza'!M96*'Założenia,wskaźniki, listy'!$B$6,IF(L96="pelet",'Mieszkalne - baza'!M96*'Założenia,wskaźniki, listy'!$B$7,IF(L96="olej opałowy",'Mieszkalne - baza'!M96*'Założenia,wskaźniki, listy'!$B$8,IF(L96="sieć ciepłownicza",0,0))))))</f>
        <v>0</v>
      </c>
      <c r="S96" s="1085"/>
      <c r="T96" s="639">
        <f>IF(L96="węgiel",R96*'Założenia,wskaźniki, listy'!$C$44,IF(L96="gaz",R96*'Założenia,wskaźniki, listy'!$D$44,IF(L96="drewno",R96*'Założenia,wskaźniki, listy'!$E$44,IF(L96="pelet",R96*'Założenia,wskaźniki, listy'!$F$44,IF(L96="olej opałowy",R96*'Założenia,wskaźniki, listy'!$G$44,IF(L96="sieć ciepłownicza",0,IF(L96="prąd",0,0)))))))</f>
        <v>0</v>
      </c>
      <c r="U96" s="639">
        <f>IF(L96="węgiel",R96*'Założenia,wskaźniki, listy'!$C$45,IF(L96="gaz",R96*'Założenia,wskaźniki, listy'!$D$45,IF(L96="drewno",R96*'Założenia,wskaźniki, listy'!$E$45,IF(L96="pelet",R96*'Założenia,wskaźniki, listy'!$F$45,IF(L96="olej opałowy",R96*'Założenia,wskaźniki, listy'!$G$45,IF(L96="sieć ciepłownicza",0,IF(L96="prąd",0,0)))))))</f>
        <v>0</v>
      </c>
      <c r="V96" s="639">
        <f>IF(L96="węgiel",R96*'Założenia,wskaźniki, listy'!$C$46,IF(L96="gaz",R96*'Założenia,wskaźniki, listy'!$D$46,IF(L96="drewno",R96*'Założenia,wskaźniki, listy'!$E$46,IF(L96="pelet",R96*'Założenia,wskaźniki, listy'!$F$46,IF(L96="olej opałowy",R96*'Założenia,wskaźniki, listy'!$G$46,IF(L96="sieć ciepłownicza",R96*'Założenia,wskaźniki, listy'!$H$46,IF(L96="prąd",R96*'Założenia,wskaźniki, listy'!$I$46,0)))))))</f>
        <v>0</v>
      </c>
      <c r="W96" s="639">
        <f>IF(L96="węgiel",R96*'Założenia,wskaźniki, listy'!$C$47,IF(L96="gaz",R96*'Założenia,wskaźniki, listy'!$D$47,IF(L96="drewno",R96*'Założenia,wskaźniki, listy'!$E$47,IF(L96="pelet",R96*'Założenia,wskaźniki, listy'!$F$47,IF(L96="olej opałowy",R96*'Założenia,wskaźniki, listy'!$G$47,IF(L96="sieć ciepłownicza",0,IF(L96="prąd",0,0)))))))</f>
        <v>0</v>
      </c>
      <c r="X96" s="639">
        <f>IF(L96="węgiel",R96*'Założenia,wskaźniki, listy'!$C$48, IF(L96="gaz",R96*'Założenia,wskaźniki, listy'!$D$48,IF(L96="drewno",R96*'Założenia,wskaźniki, listy'!$E$48,IF(L96="pelet",R96*'Założenia,wskaźniki, listy'!$F$48,IF(L96="olej opałowy",R96*'Założenia,wskaźniki, listy'!$G$48,IF(L96="sieć ciepłownicza",0,IF(L96="prąd",0,0)))))))</f>
        <v>0</v>
      </c>
      <c r="Y96" s="639">
        <f>IF(L96="węgiel",R96*'Założenia,wskaźniki, listy'!$C$49, IF(L96="gaz",R96*'Założenia,wskaźniki, listy'!$D$49, IF(L96="drewno",R96*'Założenia,wskaźniki, listy'!$E$49,IF(L96="pelet",R96*'Założenia,wskaźniki, listy'!$F$49,IF(L96="olej opałowy",R96*'Założenia,wskaźniki, listy'!$G$49,IF(L96="sieć ciepłownicza",0,IF(L96="prąd",0,0)))))))</f>
        <v>0</v>
      </c>
      <c r="Z96" s="639">
        <f>IF(L96="węgiel",R96*'Założenia,wskaźniki, listy'!$C$50,IF(L96="gaz",R96*'Założenia,wskaźniki, listy'!$D$50, IF(L96="drewno",R96*'Założenia,wskaźniki, listy'!$E$50,IF(L96="pelet",R96*'Założenia,wskaźniki, listy'!$F$50,IF(L96="pelet",R96*'Założenia,wskaźniki, listy'!$F$50,IF(L96="olej opałowy",R96*'Założenia,wskaźniki, listy'!$G$50,IF(L96="sieć ciepłownicza",0,IF(L96="prąd",0,0))))))))</f>
        <v>0</v>
      </c>
      <c r="AA96" s="639">
        <f>IF(N96="węgiel",Q96*'Założenia,wskaźniki, listy'!$C$44,IF(N96="gaz",Q96*'Założenia,wskaźniki, listy'!$D$44,IF(N96="drewno",Q96*'Założenia,wskaźniki, listy'!$E$44,IF(N96="pelet",Q96*'Założenia,wskaźniki, listy'!$G$44,IF(N96="olej opałowy",Q96*'Założenia,wskaźniki, listy'!$G$44,IF(N96="sieć ciepłownicza",0,IF(N96="prąd",0,0)))))))</f>
        <v>0</v>
      </c>
      <c r="AB96" s="639">
        <f>IF(N96="węgiel",Q96*'Założenia,wskaźniki, listy'!$C$45,IF(N96="gaz",Q96*'Założenia,wskaźniki, listy'!$D$45,IF(N96="drewno",Q96*'Założenia,wskaźniki, listy'!$E$45,IF(N96="pelet",Q96*'Założenia,wskaźniki, listy'!$G$45,IF(N96="olej opałowy",Q96*'Założenia,wskaźniki, listy'!$G$45,IF(N96="sieć ciepłownicza",0,IF(N96="prąd",0,0)))))))</f>
        <v>0</v>
      </c>
      <c r="AC96" s="639">
        <f>IF(N96="węgiel",Q96*'Założenia,wskaźniki, listy'!$C$46,IF(N96="gaz",Q96*'Założenia,wskaźniki, listy'!$D$46,IF(N96="drewno",Q96*'Założenia,wskaźniki, listy'!$E$46,IF(N96="pelet",Q96*'Założenia,wskaźniki, listy'!$G$46,IF(N96="olej opałowy",Q96*'Założenia,wskaźniki, listy'!$G$46,IF(N96="sieć ciepłownicza",0,IF(N96="prąd",0,0)))))))</f>
        <v>0</v>
      </c>
      <c r="AD96" s="639">
        <f>IF(N96="węgiel",Q96*'Założenia,wskaźniki, listy'!$C$47,IF(N96="gaz",Q96*'Założenia,wskaźniki, listy'!$D$47,IF(N96="drewno",Q96*'Założenia,wskaźniki, listy'!$E$47,IF(N96="pelet",Q96*'Założenia,wskaźniki, listy'!$G$47,IF(N96="olej opałowy",Q96*'Założenia,wskaźniki, listy'!$G$47,IF(N96="sieć ciepłownicza",0,IF(N96="prąd",0,0)))))))</f>
        <v>0</v>
      </c>
      <c r="AE96" s="639">
        <f>IF(N96="węgiel",Q96*'Założenia,wskaźniki, listy'!$C$48,IF(N96="gaz",Q96*'Założenia,wskaźniki, listy'!$D$48,IF(N96="drewno",Q96*'Założenia,wskaźniki, listy'!$E$48,IF(N96="pelet",Q96*'Założenia,wskaźniki, listy'!$G$48,IF(N96="olej opałowy",Q96*'Założenia,wskaźniki, listy'!$G$48,IF(N96="sieć ciepłownicza",0,IF(N96="prąd",0,0)))))))</f>
        <v>0</v>
      </c>
      <c r="AF96" s="639">
        <f>IF(N96="węgiel",Q96*'Założenia,wskaźniki, listy'!$C$49,IF(N96="gaz",Q96*'Założenia,wskaźniki, listy'!$D$49,IF(N96="drewno",Q96*'Założenia,wskaźniki, listy'!$E$49,IF(N96="pelet",Q96*'Założenia,wskaźniki, listy'!$G$49,IF(N96="olej opałowy",Q96*'Założenia,wskaźniki, listy'!$G$49,IF(N96="sieć ciepłownicza",0,IF(N96="prąd",0,0)))))))</f>
        <v>0</v>
      </c>
      <c r="AG96" s="639">
        <f>IF(N96="węgiel",Q96*'Założenia,wskaźniki, listy'!$C$50,IF(N96="gaz",Q96*'Założenia,wskaźniki, listy'!$D$50,IF(N96="drewno",Q96*'Założenia,wskaźniki, listy'!$E$50,IF(N96="pelet",Q96*'Założenia,wskaźniki, listy'!$G$50,IF(N96="olej opałowy",Q96*'Założenia,wskaźniki, listy'!$G$50,IF(N96="sieć ciepłownicza",0,IF(N96="prąd",0,0)))))))</f>
        <v>0</v>
      </c>
      <c r="AH96" s="640">
        <f>IF(L96="węgiel",(P96+R96)/2*'Założenia,wskaźniki, listy'!$C$4,IF(L96="gaz",(P96+R96)/2*'Założenia,wskaźniki, listy'!$C$5,IF(L96="drewno",(P96+R96)/2*'Założenia,wskaźniki, listy'!$C$6,IF(L96="pelet",(P96+R96)/2*'Założenia,wskaźniki, listy'!$C$7,IF(L96="olej opałowy",(P96+R96)/2*'Założenia,wskaźniki, listy'!$C$8,IF(L96="sieć ciepłownicza",(P96+R96)/2*'Założenia,wskaźniki, listy'!$C$9,IF(L96="sieć ciepłownicza",(P96+R96)/2*'Założenia,wskaźniki, listy'!$C$10,)))))))</f>
        <v>0</v>
      </c>
      <c r="AI96" s="640">
        <f>IF(N96="węgiel",Q96*'Założenia,wskaźniki, listy'!$C$4,IF(N96="gaz",Q96*'Założenia,wskaźniki, listy'!$C$5,IF(N96="drewno",Q96*'Założenia,wskaźniki, listy'!$C$6,IF(N96="pelet",Q96*'Założenia,wskaźniki, listy'!$C$7,IF(N96="olej opałowy",Q96*'Założenia,wskaźniki, listy'!$C$8,IF(N96="sieć ciepłownicza",Q96*'Założenia,wskaźniki, listy'!$C$9,IF(N96="sieć ciepłownicza",Q96*'Założenia,wskaźniki, listy'!$C$10,0)))))))</f>
        <v>0</v>
      </c>
      <c r="AJ96" s="640">
        <f>S96*'Założenia,wskaźniki, listy'!$B$64*1000</f>
        <v>0</v>
      </c>
      <c r="AK96" s="640">
        <f>(H96+I96)*'Założenia,wskaźniki, listy'!$D$64*12</f>
        <v>0</v>
      </c>
      <c r="AL96" s="640">
        <f>AK96*'Założenia,wskaźniki, listy'!$F$64</f>
        <v>0</v>
      </c>
      <c r="AM96" s="639">
        <f t="shared" si="128"/>
        <v>0</v>
      </c>
      <c r="AN96" s="639">
        <f t="shared" si="129"/>
        <v>0</v>
      </c>
      <c r="AO96" s="639">
        <f>V96+AC96+S96*'Założenia,wskaźniki, listy'!$J$46</f>
        <v>0</v>
      </c>
      <c r="AP96" s="639">
        <f t="shared" si="130"/>
        <v>0</v>
      </c>
      <c r="AQ96" s="639">
        <f t="shared" si="131"/>
        <v>0</v>
      </c>
      <c r="AR96" s="639">
        <f t="shared" si="132"/>
        <v>0</v>
      </c>
      <c r="AS96" s="639">
        <f t="shared" si="133"/>
        <v>0</v>
      </c>
      <c r="AT96" s="647"/>
      <c r="AU96" s="647"/>
      <c r="AV96" s="624">
        <f t="shared" si="135"/>
        <v>0</v>
      </c>
      <c r="AW96" s="624" t="b">
        <f t="shared" si="136"/>
        <v>0</v>
      </c>
      <c r="AX96" s="624" t="b">
        <f t="shared" si="137"/>
        <v>0</v>
      </c>
      <c r="AY96" s="624" t="b">
        <f t="shared" si="138"/>
        <v>0</v>
      </c>
      <c r="AZ96" s="624" t="b">
        <f t="shared" si="139"/>
        <v>0</v>
      </c>
      <c r="BA96" s="624" t="b">
        <f t="shared" si="140"/>
        <v>0</v>
      </c>
      <c r="BB96" s="624" t="b">
        <f t="shared" si="141"/>
        <v>0</v>
      </c>
      <c r="BC96" s="624" t="b">
        <f t="shared" si="142"/>
        <v>0</v>
      </c>
      <c r="BD96" s="624" t="b">
        <f t="shared" si="143"/>
        <v>0</v>
      </c>
      <c r="BE96" s="624" t="b">
        <f t="shared" si="144"/>
        <v>0</v>
      </c>
      <c r="BF96" s="624" t="b">
        <f t="shared" si="145"/>
        <v>0</v>
      </c>
      <c r="BG96" s="624" t="b">
        <f t="shared" si="146"/>
        <v>0</v>
      </c>
      <c r="BH96" s="624" t="b">
        <f t="shared" si="147"/>
        <v>0</v>
      </c>
      <c r="BI96" s="624" t="b">
        <f t="shared" si="148"/>
        <v>0</v>
      </c>
      <c r="BJ96" s="624" t="b">
        <f t="shared" si="149"/>
        <v>0</v>
      </c>
      <c r="BK96" s="624" t="b">
        <f t="shared" si="150"/>
        <v>0</v>
      </c>
      <c r="BL96" s="624" t="b">
        <f t="shared" si="151"/>
        <v>0</v>
      </c>
      <c r="BM96" s="624" t="b">
        <f t="shared" si="152"/>
        <v>0</v>
      </c>
      <c r="BN96" s="624" t="b">
        <f t="shared" si="153"/>
        <v>0</v>
      </c>
      <c r="BO96" s="624" t="b">
        <f t="shared" si="154"/>
        <v>0</v>
      </c>
      <c r="BP96" s="624" t="b">
        <f t="shared" si="155"/>
        <v>0</v>
      </c>
      <c r="BQ96" s="624" t="b">
        <f t="shared" si="156"/>
        <v>0</v>
      </c>
    </row>
    <row r="97" spans="1:69">
      <c r="A97" s="1086">
        <v>47</v>
      </c>
      <c r="B97" s="872" t="s">
        <v>21</v>
      </c>
      <c r="C97" s="873" t="s">
        <v>621</v>
      </c>
      <c r="D97" s="645" t="s">
        <v>628</v>
      </c>
      <c r="E97" s="645">
        <v>15</v>
      </c>
      <c r="F97" s="644">
        <v>1990</v>
      </c>
      <c r="G97" s="644">
        <v>140</v>
      </c>
      <c r="H97" s="644"/>
      <c r="I97" s="635"/>
      <c r="J97" s="644">
        <f>IF(F97&lt;=1966,'Założenia,wskaźniki, listy'!$H$4,IF(F97&gt;1966,IF(F97&lt;=1985,'Założenia,wskaźniki, listy'!$H$5,IF(F97&gt;1985,IF(F97&lt;=1992,'Założenia,wskaźniki, listy'!$H$6,IF(F97&gt;1992,IF(F97&lt;=1996,'Założenia,wskaźniki, listy'!$H$7,IF(F97&gt;1996,IF(F97&lt;=2015,'Założenia,wskaźniki, listy'!$H$8)))))))))</f>
        <v>175</v>
      </c>
      <c r="K97" s="864" t="s">
        <v>32</v>
      </c>
      <c r="L97" s="644" t="s">
        <v>8</v>
      </c>
      <c r="M97" s="644">
        <v>3</v>
      </c>
      <c r="N97" s="644"/>
      <c r="O97" s="637">
        <f t="shared" si="134"/>
        <v>60.375</v>
      </c>
      <c r="P97" s="646">
        <f>IF(K97="kompletna",J97*G97*0.0036*'Założenia,wskaźniki, listy'!$P$9,IF(K97="częściowa",J97*G97*0.0036*'Założenia,wskaźniki, listy'!$P$10,IF(K97="brak",J97*G97*0.0036*'Założenia,wskaźniki, listy'!$P$11,0)))</f>
        <v>52.92</v>
      </c>
      <c r="Q97" s="638">
        <f>H97*'Założenia,wskaźniki, listy'!$L$15</f>
        <v>0</v>
      </c>
      <c r="R97" s="635">
        <f>IF(L97="węgiel",'Mieszkalne - baza'!M97*'Założenia,wskaźniki, listy'!$B$4,IF(L97="gaz",'Mieszkalne - baza'!M97*'Założenia,wskaźniki, listy'!$B$5,IF(L97="drewno",'Mieszkalne - baza'!M97*'Założenia,wskaźniki, listy'!$B$6,IF(L97="pelet",'Mieszkalne - baza'!M97*'Założenia,wskaźniki, listy'!$B$7,IF(L97="olej opałowy",'Mieszkalne - baza'!M97*'Założenia,wskaźniki, listy'!$B$8,IF(L97="sieć ciepłownicza",0,0))))))</f>
        <v>67.83</v>
      </c>
      <c r="S97" s="1084">
        <v>1.9176</v>
      </c>
      <c r="T97" s="639">
        <f>IF(L97="węgiel",R97*'Założenia,wskaźniki, listy'!$C$44,IF(L97="gaz",R97*'Założenia,wskaźniki, listy'!$D$44,IF(L97="drewno",R97*'Założenia,wskaźniki, listy'!$E$44,IF(L97="pelet",R97*'Założenia,wskaźniki, listy'!$F$44,IF(L97="olej opałowy",R97*'Założenia,wskaźniki, listy'!$G$44,IF(L97="sieć ciepłownicza",0,IF(L97="prąd",0,0)))))))</f>
        <v>1.5261749999999999E-2</v>
      </c>
      <c r="U97" s="639">
        <f>IF(L97="węgiel",R97*'Założenia,wskaźniki, listy'!$C$45,IF(L97="gaz",R97*'Założenia,wskaźniki, listy'!$D$45,IF(L97="drewno",R97*'Założenia,wskaźniki, listy'!$E$45,IF(L97="pelet",R97*'Założenia,wskaźniki, listy'!$F$45,IF(L97="olej opałowy",R97*'Założenia,wskaźniki, listy'!$G$45,IF(L97="sieć ciepłownicza",0,IF(L97="prąd",0,0)))))))</f>
        <v>1.363383E-2</v>
      </c>
      <c r="V97" s="639">
        <f>IF(L97="węgiel",R97*'Założenia,wskaźniki, listy'!$C$46,IF(L97="gaz",R97*'Założenia,wskaźniki, listy'!$D$46,IF(L97="drewno",R97*'Założenia,wskaźniki, listy'!$E$46,IF(L97="pelet",R97*'Założenia,wskaźniki, listy'!$F$46,IF(L97="olej opałowy",R97*'Założenia,wskaźniki, listy'!$G$46,IF(L97="sieć ciepłownicza",R97*'Założenia,wskaźniki, listy'!$H$46,IF(L97="prąd",R97*'Założenia,wskaźniki, listy'!$I$46,0)))))))</f>
        <v>6.3583841999999988</v>
      </c>
      <c r="W97" s="639">
        <f>IF(L97="węgiel",R97*'Założenia,wskaźniki, listy'!$C$47,IF(L97="gaz",R97*'Założenia,wskaźniki, listy'!$D$47,IF(L97="drewno",R97*'Założenia,wskaźniki, listy'!$E$47,IF(L97="pelet",R97*'Założenia,wskaźniki, listy'!$F$47,IF(L97="olej opałowy",R97*'Założenia,wskaźniki, listy'!$G$47,IF(L97="sieć ciepłownicza",0,IF(L97="prąd",0,0)))))))</f>
        <v>1.8314100000000001E-5</v>
      </c>
      <c r="X97" s="639">
        <f>IF(L97="węgiel",R97*'Założenia,wskaźniki, listy'!$C$48, IF(L97="gaz",R97*'Założenia,wskaźniki, listy'!$D$48,IF(L97="drewno",R97*'Założenia,wskaźniki, listy'!$E$48,IF(L97="pelet",R97*'Założenia,wskaźniki, listy'!$F$48,IF(L97="olej opałowy",R97*'Założenia,wskaźniki, listy'!$G$48,IF(L97="sieć ciepłownicza",0,IF(L97="prąd",0,0)))))))</f>
        <v>6.1046999999999997E-2</v>
      </c>
      <c r="Y97" s="639">
        <f>IF(L97="węgiel",R97*'Założenia,wskaźniki, listy'!$C$49, IF(L97="gaz",R97*'Założenia,wskaźniki, listy'!$D$49, IF(L97="drewno",R97*'Założenia,wskaźniki, listy'!$E$49,IF(L97="pelet",R97*'Założenia,wskaźniki, listy'!$F$49,IF(L97="olej opałowy",R97*'Założenia,wskaźniki, listy'!$G$49,IF(L97="sieć ciepłownicza",0,IF(L97="prąd",0,0)))))))</f>
        <v>1.071714E-2</v>
      </c>
      <c r="Z97" s="639">
        <f>IF(L97="węgiel",R97*'Założenia,wskaźniki, listy'!$C$50,IF(L97="gaz",R97*'Założenia,wskaźniki, listy'!$D$50, IF(L97="drewno",R97*'Założenia,wskaźniki, listy'!$E$50,IF(L97="pelet",R97*'Założenia,wskaźniki, listy'!$F$50,IF(L97="pelet",R97*'Założenia,wskaźniki, listy'!$F$50,IF(L97="olej opałowy",R97*'Założenia,wskaźniki, listy'!$G$50,IF(L97="sieć ciepłownicza",0,IF(L97="prąd",0,0))))))))</f>
        <v>0.13644836835046936</v>
      </c>
      <c r="AA97" s="639">
        <f>IF(N97="węgiel",Q97*'Założenia,wskaźniki, listy'!$C$44,IF(N97="gaz",Q97*'Założenia,wskaźniki, listy'!$D$44,IF(N97="drewno",Q97*'Założenia,wskaźniki, listy'!$E$44,IF(N97="pelet",Q97*'Założenia,wskaźniki, listy'!$G$44,IF(N97="olej opałowy",Q97*'Założenia,wskaźniki, listy'!$G$44,IF(N97="sieć ciepłownicza",0,IF(N97="prąd",0,0)))))))</f>
        <v>0</v>
      </c>
      <c r="AB97" s="639">
        <f>IF(N97="węgiel",Q97*'Założenia,wskaźniki, listy'!$C$45,IF(N97="gaz",Q97*'Założenia,wskaźniki, listy'!$D$45,IF(N97="drewno",Q97*'Założenia,wskaźniki, listy'!$E$45,IF(N97="pelet",Q97*'Założenia,wskaźniki, listy'!$G$45,IF(N97="olej opałowy",Q97*'Założenia,wskaźniki, listy'!$G$45,IF(N97="sieć ciepłownicza",0,IF(N97="prąd",0,0)))))))</f>
        <v>0</v>
      </c>
      <c r="AC97" s="639">
        <f>IF(N97="węgiel",Q97*'Założenia,wskaźniki, listy'!$C$46,IF(N97="gaz",Q97*'Założenia,wskaźniki, listy'!$D$46,IF(N97="drewno",Q97*'Założenia,wskaźniki, listy'!$E$46,IF(N97="pelet",Q97*'Założenia,wskaźniki, listy'!$G$46,IF(N97="olej opałowy",Q97*'Założenia,wskaźniki, listy'!$G$46,IF(N97="sieć ciepłownicza",0,IF(N97="prąd",0,0)))))))</f>
        <v>0</v>
      </c>
      <c r="AD97" s="639">
        <f>IF(N97="węgiel",Q97*'Założenia,wskaźniki, listy'!$C$47,IF(N97="gaz",Q97*'Założenia,wskaźniki, listy'!$D$47,IF(N97="drewno",Q97*'Założenia,wskaźniki, listy'!$E$47,IF(N97="pelet",Q97*'Założenia,wskaźniki, listy'!$G$47,IF(N97="olej opałowy",Q97*'Założenia,wskaźniki, listy'!$G$47,IF(N97="sieć ciepłownicza",0,IF(N97="prąd",0,0)))))))</f>
        <v>0</v>
      </c>
      <c r="AE97" s="639">
        <f>IF(N97="węgiel",Q97*'Założenia,wskaźniki, listy'!$C$48,IF(N97="gaz",Q97*'Założenia,wskaźniki, listy'!$D$48,IF(N97="drewno",Q97*'Założenia,wskaźniki, listy'!$E$48,IF(N97="pelet",Q97*'Założenia,wskaźniki, listy'!$G$48,IF(N97="olej opałowy",Q97*'Założenia,wskaźniki, listy'!$G$48,IF(N97="sieć ciepłownicza",0,IF(N97="prąd",0,0)))))))</f>
        <v>0</v>
      </c>
      <c r="AF97" s="639">
        <f>IF(N97="węgiel",Q97*'Założenia,wskaźniki, listy'!$C$49,IF(N97="gaz",Q97*'Założenia,wskaźniki, listy'!$D$49,IF(N97="drewno",Q97*'Założenia,wskaźniki, listy'!$E$49,IF(N97="pelet",Q97*'Założenia,wskaźniki, listy'!$G$49,IF(N97="olej opałowy",Q97*'Założenia,wskaźniki, listy'!$G$49,IF(N97="sieć ciepłownicza",0,IF(N97="prąd",0,0)))))))</f>
        <v>0</v>
      </c>
      <c r="AG97" s="639">
        <f>IF(N97="węgiel",Q97*'Założenia,wskaźniki, listy'!$C$50,IF(N97="gaz",Q97*'Założenia,wskaźniki, listy'!$D$50,IF(N97="drewno",Q97*'Założenia,wskaźniki, listy'!$E$50,IF(N97="pelet",Q97*'Założenia,wskaźniki, listy'!$G$50,IF(N97="olej opałowy",Q97*'Założenia,wskaźniki, listy'!$G$50,IF(N97="sieć ciepłownicza",0,IF(N97="prąd",0,0)))))))</f>
        <v>0</v>
      </c>
      <c r="AH97" s="640">
        <f>IF(L97="węgiel",(P97+R97)/2*'Założenia,wskaźniki, listy'!$C$4,IF(L97="gaz",(P97+R97)/2*'Założenia,wskaźniki, listy'!$C$5,IF(L97="drewno",(P97+R97)/2*'Założenia,wskaźniki, listy'!$C$6,IF(L97="pelet",(P97+R97)/2*'Założenia,wskaźniki, listy'!$C$7,IF(L97="olej opałowy",(P97+R97)/2*'Założenia,wskaźniki, listy'!$C$8,IF(L97="sieć ciepłownicza",(P97+R97)/2*'Założenia,wskaźniki, listy'!$C$9,IF(L97="sieć ciepłownicza",(P97+R97)/2*'Założenia,wskaźniki, listy'!$C$10,)))))))</f>
        <v>2475.375</v>
      </c>
      <c r="AI97" s="640">
        <f>IF(N97="węgiel",Q97*'Założenia,wskaźniki, listy'!$C$4,IF(N97="gaz",Q97*'Założenia,wskaźniki, listy'!$C$5,IF(N97="drewno",Q97*'Założenia,wskaźniki, listy'!$C$6,IF(N97="pelet",Q97*'Założenia,wskaźniki, listy'!$C$7,IF(N97="olej opałowy",Q97*'Założenia,wskaźniki, listy'!$C$8,IF(N97="sieć ciepłownicza",Q97*'Założenia,wskaźniki, listy'!$C$9,IF(N97="sieć ciepłownicza",Q97*'Założenia,wskaźniki, listy'!$C$10,0)))))))</f>
        <v>0</v>
      </c>
      <c r="AJ97" s="640">
        <f>S97*'Założenia,wskaźniki, listy'!$B$64*1000</f>
        <v>1361.4959999999999</v>
      </c>
      <c r="AK97" s="640">
        <f>(H97+I97)*'Założenia,wskaźniki, listy'!$D$64*12</f>
        <v>0</v>
      </c>
      <c r="AL97" s="640">
        <f>AK97*'Założenia,wskaźniki, listy'!$F$64</f>
        <v>0</v>
      </c>
      <c r="AM97" s="639">
        <f t="shared" si="128"/>
        <v>1.5261749999999999E-2</v>
      </c>
      <c r="AN97" s="639">
        <f t="shared" si="129"/>
        <v>1.363383E-2</v>
      </c>
      <c r="AO97" s="639">
        <f>V97+AC97+S97*'Założenia,wskaźniki, listy'!$J$46</f>
        <v>7.9528685999999986</v>
      </c>
      <c r="AP97" s="639">
        <f t="shared" si="130"/>
        <v>1.8314100000000001E-5</v>
      </c>
      <c r="AQ97" s="639">
        <f t="shared" si="131"/>
        <v>6.1046999999999997E-2</v>
      </c>
      <c r="AR97" s="639">
        <f t="shared" si="132"/>
        <v>1.071714E-2</v>
      </c>
      <c r="AS97" s="639">
        <f t="shared" si="133"/>
        <v>0.13644836835046936</v>
      </c>
      <c r="AT97" s="647"/>
      <c r="AU97" s="647"/>
      <c r="AV97" s="624" t="b">
        <f t="shared" si="135"/>
        <v>0</v>
      </c>
      <c r="AW97" s="624" t="b">
        <f t="shared" si="136"/>
        <v>0</v>
      </c>
      <c r="AX97" s="624" t="b">
        <f t="shared" si="137"/>
        <v>0</v>
      </c>
      <c r="AY97" s="624" t="b">
        <f t="shared" si="138"/>
        <v>0</v>
      </c>
      <c r="AZ97" s="624">
        <f t="shared" si="139"/>
        <v>140</v>
      </c>
      <c r="BA97" s="624">
        <f t="shared" si="140"/>
        <v>140</v>
      </c>
      <c r="BB97" s="624" t="b">
        <f t="shared" si="141"/>
        <v>0</v>
      </c>
      <c r="BC97" s="624" t="b">
        <f t="shared" si="142"/>
        <v>0</v>
      </c>
      <c r="BD97" s="624" t="b">
        <f t="shared" si="143"/>
        <v>0</v>
      </c>
      <c r="BE97" s="624" t="b">
        <f t="shared" si="144"/>
        <v>0</v>
      </c>
      <c r="BF97" s="624">
        <f t="shared" si="145"/>
        <v>67.83</v>
      </c>
      <c r="BG97" s="624" t="b">
        <f t="shared" si="146"/>
        <v>0</v>
      </c>
      <c r="BH97" s="624" t="b">
        <f t="shared" si="147"/>
        <v>0</v>
      </c>
      <c r="BI97" s="624" t="b">
        <f t="shared" si="148"/>
        <v>0</v>
      </c>
      <c r="BJ97" s="624" t="b">
        <f t="shared" si="149"/>
        <v>0</v>
      </c>
      <c r="BK97" s="624" t="b">
        <f t="shared" si="150"/>
        <v>0</v>
      </c>
      <c r="BL97" s="624" t="b">
        <f t="shared" si="151"/>
        <v>0</v>
      </c>
      <c r="BM97" s="624" t="b">
        <f t="shared" si="152"/>
        <v>0</v>
      </c>
      <c r="BN97" s="624" t="b">
        <f t="shared" si="153"/>
        <v>0</v>
      </c>
      <c r="BO97" s="624" t="b">
        <f t="shared" si="154"/>
        <v>0</v>
      </c>
      <c r="BP97" s="624" t="b">
        <f t="shared" si="155"/>
        <v>0</v>
      </c>
      <c r="BQ97" s="624" t="b">
        <f t="shared" si="156"/>
        <v>0</v>
      </c>
    </row>
    <row r="98" spans="1:69">
      <c r="A98" s="1087"/>
      <c r="B98" s="872"/>
      <c r="C98" s="872"/>
      <c r="D98" s="645"/>
      <c r="E98" s="645"/>
      <c r="F98" s="644"/>
      <c r="G98" s="644"/>
      <c r="H98" s="644"/>
      <c r="I98" s="635"/>
      <c r="J98" s="644">
        <f>IF(F98&lt;=1966,'Założenia,wskaźniki, listy'!$H$4,IF(F98&gt;1966,IF(F98&lt;=1985,'Założenia,wskaźniki, listy'!$H$5,IF(F98&gt;1985,IF(F98&lt;=1992,'Założenia,wskaźniki, listy'!$H$6,IF(F98&gt;1992,IF(F98&lt;=1996,'Założenia,wskaźniki, listy'!$H$7,IF(F98&gt;1996,IF(F98&lt;=2015,'Założenia,wskaźniki, listy'!$H$8)))))))))</f>
        <v>290</v>
      </c>
      <c r="K98" s="864"/>
      <c r="L98" s="644"/>
      <c r="M98" s="644"/>
      <c r="N98" s="644"/>
      <c r="O98" s="637">
        <f t="shared" si="134"/>
        <v>0</v>
      </c>
      <c r="P98" s="646">
        <f>IF(K98="kompletna",J98*G98*0.0036*'Założenia,wskaźniki, listy'!$P$9,IF(K98="częściowa",J98*G98*0.0036*'Założenia,wskaźniki, listy'!$P$10,IF(K98="brak",J98*G98*0.0036*'Założenia,wskaźniki, listy'!$P$11,0)))</f>
        <v>0</v>
      </c>
      <c r="Q98" s="638">
        <f>H98*'Założenia,wskaźniki, listy'!$L$15</f>
        <v>0</v>
      </c>
      <c r="R98" s="635">
        <f>IF(L98="węgiel",'Mieszkalne - baza'!M98*'Założenia,wskaźniki, listy'!$B$4,IF(L98="gaz",'Mieszkalne - baza'!M98*'Założenia,wskaźniki, listy'!$B$5,IF(L98="drewno",'Mieszkalne - baza'!M98*'Założenia,wskaźniki, listy'!$B$6,IF(L98="pelet",'Mieszkalne - baza'!M98*'Założenia,wskaźniki, listy'!$B$7,IF(L98="olej opałowy",'Mieszkalne - baza'!M98*'Założenia,wskaźniki, listy'!$B$8,IF(L98="sieć ciepłownicza",0,0))))))</f>
        <v>0</v>
      </c>
      <c r="S98" s="1085"/>
      <c r="T98" s="639">
        <f>IF(L98="węgiel",R98*'Założenia,wskaźniki, listy'!$C$44,IF(L98="gaz",R98*'Założenia,wskaźniki, listy'!$D$44,IF(L98="drewno",R98*'Założenia,wskaźniki, listy'!$E$44,IF(L98="pelet",R98*'Założenia,wskaźniki, listy'!$F$44,IF(L98="olej opałowy",R98*'Założenia,wskaźniki, listy'!$G$44,IF(L98="sieć ciepłownicza",0,IF(L98="prąd",0,0)))))))</f>
        <v>0</v>
      </c>
      <c r="U98" s="639">
        <f>IF(L98="węgiel",R98*'Założenia,wskaźniki, listy'!$C$45,IF(L98="gaz",R98*'Założenia,wskaźniki, listy'!$D$45,IF(L98="drewno",R98*'Założenia,wskaźniki, listy'!$E$45,IF(L98="pelet",R98*'Założenia,wskaźniki, listy'!$F$45,IF(L98="olej opałowy",R98*'Założenia,wskaźniki, listy'!$G$45,IF(L98="sieć ciepłownicza",0,IF(L98="prąd",0,0)))))))</f>
        <v>0</v>
      </c>
      <c r="V98" s="639">
        <f>IF(L98="węgiel",R98*'Założenia,wskaźniki, listy'!$C$46,IF(L98="gaz",R98*'Założenia,wskaźniki, listy'!$D$46,IF(L98="drewno",R98*'Założenia,wskaźniki, listy'!$E$46,IF(L98="pelet",R98*'Założenia,wskaźniki, listy'!$F$46,IF(L98="olej opałowy",R98*'Założenia,wskaźniki, listy'!$G$46,IF(L98="sieć ciepłownicza",R98*'Założenia,wskaźniki, listy'!$H$46,IF(L98="prąd",R98*'Założenia,wskaźniki, listy'!$I$46,0)))))))</f>
        <v>0</v>
      </c>
      <c r="W98" s="639">
        <f>IF(L98="węgiel",R98*'Założenia,wskaźniki, listy'!$C$47,IF(L98="gaz",R98*'Założenia,wskaźniki, listy'!$D$47,IF(L98="drewno",R98*'Założenia,wskaźniki, listy'!$E$47,IF(L98="pelet",R98*'Założenia,wskaźniki, listy'!$F$47,IF(L98="olej opałowy",R98*'Założenia,wskaźniki, listy'!$G$47,IF(L98="sieć ciepłownicza",0,IF(L98="prąd",0,0)))))))</f>
        <v>0</v>
      </c>
      <c r="X98" s="639">
        <f>IF(L98="węgiel",R98*'Założenia,wskaźniki, listy'!$C$48, IF(L98="gaz",R98*'Założenia,wskaźniki, listy'!$D$48,IF(L98="drewno",R98*'Założenia,wskaźniki, listy'!$E$48,IF(L98="pelet",R98*'Założenia,wskaźniki, listy'!$F$48,IF(L98="olej opałowy",R98*'Założenia,wskaźniki, listy'!$G$48,IF(L98="sieć ciepłownicza",0,IF(L98="prąd",0,0)))))))</f>
        <v>0</v>
      </c>
      <c r="Y98" s="639">
        <f>IF(L98="węgiel",R98*'Założenia,wskaźniki, listy'!$C$49, IF(L98="gaz",R98*'Założenia,wskaźniki, listy'!$D$49, IF(L98="drewno",R98*'Założenia,wskaźniki, listy'!$E$49,IF(L98="pelet",R98*'Założenia,wskaźniki, listy'!$F$49,IF(L98="olej opałowy",R98*'Założenia,wskaźniki, listy'!$G$49,IF(L98="sieć ciepłownicza",0,IF(L98="prąd",0,0)))))))</f>
        <v>0</v>
      </c>
      <c r="Z98" s="639">
        <f>IF(L98="węgiel",R98*'Założenia,wskaźniki, listy'!$C$50,IF(L98="gaz",R98*'Założenia,wskaźniki, listy'!$D$50, IF(L98="drewno",R98*'Założenia,wskaźniki, listy'!$E$50,IF(L98="pelet",R98*'Założenia,wskaźniki, listy'!$F$50,IF(L98="pelet",R98*'Założenia,wskaźniki, listy'!$F$50,IF(L98="olej opałowy",R98*'Założenia,wskaźniki, listy'!$G$50,IF(L98="sieć ciepłownicza",0,IF(L98="prąd",0,0))))))))</f>
        <v>0</v>
      </c>
      <c r="AA98" s="639">
        <f>IF(N98="węgiel",Q98*'Założenia,wskaźniki, listy'!$C$44,IF(N98="gaz",Q98*'Założenia,wskaźniki, listy'!$D$44,IF(N98="drewno",Q98*'Założenia,wskaźniki, listy'!$E$44,IF(N98="pelet",Q98*'Założenia,wskaźniki, listy'!$G$44,IF(N98="olej opałowy",Q98*'Założenia,wskaźniki, listy'!$G$44,IF(N98="sieć ciepłownicza",0,IF(N98="prąd",0,0)))))))</f>
        <v>0</v>
      </c>
      <c r="AB98" s="639">
        <f>IF(N98="węgiel",Q98*'Założenia,wskaźniki, listy'!$C$45,IF(N98="gaz",Q98*'Założenia,wskaźniki, listy'!$D$45,IF(N98="drewno",Q98*'Założenia,wskaźniki, listy'!$E$45,IF(N98="pelet",Q98*'Założenia,wskaźniki, listy'!$G$45,IF(N98="olej opałowy",Q98*'Założenia,wskaźniki, listy'!$G$45,IF(N98="sieć ciepłownicza",0,IF(N98="prąd",0,0)))))))</f>
        <v>0</v>
      </c>
      <c r="AC98" s="639">
        <f>IF(N98="węgiel",Q98*'Założenia,wskaźniki, listy'!$C$46,IF(N98="gaz",Q98*'Założenia,wskaźniki, listy'!$D$46,IF(N98="drewno",Q98*'Założenia,wskaźniki, listy'!$E$46,IF(N98="pelet",Q98*'Założenia,wskaźniki, listy'!$G$46,IF(N98="olej opałowy",Q98*'Założenia,wskaźniki, listy'!$G$46,IF(N98="sieć ciepłownicza",0,IF(N98="prąd",0,0)))))))</f>
        <v>0</v>
      </c>
      <c r="AD98" s="639">
        <f>IF(N98="węgiel",Q98*'Założenia,wskaźniki, listy'!$C$47,IF(N98="gaz",Q98*'Założenia,wskaźniki, listy'!$D$47,IF(N98="drewno",Q98*'Założenia,wskaźniki, listy'!$E$47,IF(N98="pelet",Q98*'Założenia,wskaźniki, listy'!$G$47,IF(N98="olej opałowy",Q98*'Założenia,wskaźniki, listy'!$G$47,IF(N98="sieć ciepłownicza",0,IF(N98="prąd",0,0)))))))</f>
        <v>0</v>
      </c>
      <c r="AE98" s="639">
        <f>IF(N98="węgiel",Q98*'Założenia,wskaźniki, listy'!$C$48,IF(N98="gaz",Q98*'Założenia,wskaźniki, listy'!$D$48,IF(N98="drewno",Q98*'Założenia,wskaźniki, listy'!$E$48,IF(N98="pelet",Q98*'Założenia,wskaźniki, listy'!$G$48,IF(N98="olej opałowy",Q98*'Założenia,wskaźniki, listy'!$G$48,IF(N98="sieć ciepłownicza",0,IF(N98="prąd",0,0)))))))</f>
        <v>0</v>
      </c>
      <c r="AF98" s="639">
        <f>IF(N98="węgiel",Q98*'Założenia,wskaźniki, listy'!$C$49,IF(N98="gaz",Q98*'Założenia,wskaźniki, listy'!$D$49,IF(N98="drewno",Q98*'Założenia,wskaźniki, listy'!$E$49,IF(N98="pelet",Q98*'Założenia,wskaźniki, listy'!$G$49,IF(N98="olej opałowy",Q98*'Założenia,wskaźniki, listy'!$G$49,IF(N98="sieć ciepłownicza",0,IF(N98="prąd",0,0)))))))</f>
        <v>0</v>
      </c>
      <c r="AG98" s="639">
        <f>IF(N98="węgiel",Q98*'Założenia,wskaźniki, listy'!$C$50,IF(N98="gaz",Q98*'Założenia,wskaźniki, listy'!$D$50,IF(N98="drewno",Q98*'Założenia,wskaźniki, listy'!$E$50,IF(N98="pelet",Q98*'Założenia,wskaźniki, listy'!$G$50,IF(N98="olej opałowy",Q98*'Założenia,wskaźniki, listy'!$G$50,IF(N98="sieć ciepłownicza",0,IF(N98="prąd",0,0)))))))</f>
        <v>0</v>
      </c>
      <c r="AH98" s="640">
        <f>IF(L98="węgiel",(P98+R98)/2*'Założenia,wskaźniki, listy'!$C$4,IF(L98="gaz",(P98+R98)/2*'Założenia,wskaźniki, listy'!$C$5,IF(L98="drewno",(P98+R98)/2*'Założenia,wskaźniki, listy'!$C$6,IF(L98="pelet",(P98+R98)/2*'Założenia,wskaźniki, listy'!$C$7,IF(L98="olej opałowy",(P98+R98)/2*'Założenia,wskaźniki, listy'!$C$8,IF(L98="sieć ciepłownicza",(P98+R98)/2*'Założenia,wskaźniki, listy'!$C$9,IF(L98="sieć ciepłownicza",(P98+R98)/2*'Założenia,wskaźniki, listy'!$C$10,)))))))</f>
        <v>0</v>
      </c>
      <c r="AI98" s="640">
        <f>IF(N98="węgiel",Q98*'Założenia,wskaźniki, listy'!$C$4,IF(N98="gaz",Q98*'Założenia,wskaźniki, listy'!$C$5,IF(N98="drewno",Q98*'Założenia,wskaźniki, listy'!$C$6,IF(N98="pelet",Q98*'Założenia,wskaźniki, listy'!$C$7,IF(N98="olej opałowy",Q98*'Założenia,wskaźniki, listy'!$C$8,IF(N98="sieć ciepłownicza",Q98*'Założenia,wskaźniki, listy'!$C$9,IF(N98="sieć ciepłownicza",Q98*'Założenia,wskaźniki, listy'!$C$10,0)))))))</f>
        <v>0</v>
      </c>
      <c r="AJ98" s="640">
        <f>S98*'Założenia,wskaźniki, listy'!$B$64*1000</f>
        <v>0</v>
      </c>
      <c r="AK98" s="640">
        <f>(H98+I98)*'Założenia,wskaźniki, listy'!$D$64*12</f>
        <v>0</v>
      </c>
      <c r="AL98" s="640">
        <f>AK98*'Założenia,wskaźniki, listy'!$F$64</f>
        <v>0</v>
      </c>
      <c r="AM98" s="639">
        <f t="shared" si="128"/>
        <v>0</v>
      </c>
      <c r="AN98" s="639">
        <f t="shared" si="129"/>
        <v>0</v>
      </c>
      <c r="AO98" s="639">
        <f>V98+AC98+S98*'Założenia,wskaźniki, listy'!$J$46</f>
        <v>0</v>
      </c>
      <c r="AP98" s="639">
        <f t="shared" si="130"/>
        <v>0</v>
      </c>
      <c r="AQ98" s="639">
        <f t="shared" si="131"/>
        <v>0</v>
      </c>
      <c r="AR98" s="639">
        <f t="shared" si="132"/>
        <v>0</v>
      </c>
      <c r="AS98" s="639">
        <f t="shared" si="133"/>
        <v>0</v>
      </c>
      <c r="AT98" s="647"/>
      <c r="AU98" s="647"/>
      <c r="AV98" s="624">
        <f t="shared" si="135"/>
        <v>0</v>
      </c>
      <c r="AW98" s="624" t="b">
        <f t="shared" si="136"/>
        <v>0</v>
      </c>
      <c r="AX98" s="624" t="b">
        <f t="shared" si="137"/>
        <v>0</v>
      </c>
      <c r="AY98" s="624" t="b">
        <f t="shared" si="138"/>
        <v>0</v>
      </c>
      <c r="AZ98" s="624" t="b">
        <f t="shared" si="139"/>
        <v>0</v>
      </c>
      <c r="BA98" s="624" t="b">
        <f t="shared" si="140"/>
        <v>0</v>
      </c>
      <c r="BB98" s="624" t="b">
        <f t="shared" si="141"/>
        <v>0</v>
      </c>
      <c r="BC98" s="624" t="b">
        <f t="shared" si="142"/>
        <v>0</v>
      </c>
      <c r="BD98" s="624" t="b">
        <f t="shared" si="143"/>
        <v>0</v>
      </c>
      <c r="BE98" s="624" t="b">
        <f t="shared" si="144"/>
        <v>0</v>
      </c>
      <c r="BF98" s="624" t="b">
        <f t="shared" si="145"/>
        <v>0</v>
      </c>
      <c r="BG98" s="624" t="b">
        <f t="shared" si="146"/>
        <v>0</v>
      </c>
      <c r="BH98" s="624" t="b">
        <f t="shared" si="147"/>
        <v>0</v>
      </c>
      <c r="BI98" s="624" t="b">
        <f t="shared" si="148"/>
        <v>0</v>
      </c>
      <c r="BJ98" s="624" t="b">
        <f t="shared" si="149"/>
        <v>0</v>
      </c>
      <c r="BK98" s="624" t="b">
        <f t="shared" si="150"/>
        <v>0</v>
      </c>
      <c r="BL98" s="624" t="b">
        <f t="shared" si="151"/>
        <v>0</v>
      </c>
      <c r="BM98" s="624" t="b">
        <f t="shared" si="152"/>
        <v>0</v>
      </c>
      <c r="BN98" s="624" t="b">
        <f t="shared" si="153"/>
        <v>0</v>
      </c>
      <c r="BO98" s="624" t="b">
        <f t="shared" si="154"/>
        <v>0</v>
      </c>
      <c r="BP98" s="624" t="b">
        <f t="shared" si="155"/>
        <v>0</v>
      </c>
      <c r="BQ98" s="624" t="b">
        <f t="shared" si="156"/>
        <v>0</v>
      </c>
    </row>
    <row r="99" spans="1:69">
      <c r="A99" s="1086">
        <v>48</v>
      </c>
      <c r="B99" s="872" t="s">
        <v>21</v>
      </c>
      <c r="C99" s="873" t="s">
        <v>621</v>
      </c>
      <c r="D99" s="645" t="s">
        <v>628</v>
      </c>
      <c r="E99" s="645">
        <v>6</v>
      </c>
      <c r="F99" s="644">
        <v>1980</v>
      </c>
      <c r="G99" s="644">
        <v>170</v>
      </c>
      <c r="H99" s="644"/>
      <c r="I99" s="635"/>
      <c r="J99" s="644">
        <f>IF(F99&lt;=1966,'Założenia,wskaźniki, listy'!$H$4,IF(F99&gt;1966,IF(F99&lt;=1985,'Założenia,wskaźniki, listy'!$H$5,IF(F99&gt;1985,IF(F99&lt;=1992,'Założenia,wskaźniki, listy'!$H$6,IF(F99&gt;1992,IF(F99&lt;=1996,'Założenia,wskaźniki, listy'!$H$7,IF(F99&gt;1996,IF(F99&lt;=2015,'Założenia,wskaźniki, listy'!$H$8)))))))))</f>
        <v>250</v>
      </c>
      <c r="K99" s="864" t="s">
        <v>33</v>
      </c>
      <c r="L99" s="644" t="s">
        <v>8</v>
      </c>
      <c r="M99" s="644">
        <v>4</v>
      </c>
      <c r="N99" s="644"/>
      <c r="O99" s="637">
        <f t="shared" si="134"/>
        <v>106.42</v>
      </c>
      <c r="P99" s="646">
        <f>IF(K99="kompletna",J99*G99*0.0036*'Założenia,wskaźniki, listy'!$P$9,IF(K99="częściowa",J99*G99*0.0036*'Założenia,wskaźniki, listy'!$P$10,IF(K99="brak",J99*G99*0.0036*'Założenia,wskaźniki, listy'!$P$11,0)))</f>
        <v>122.4</v>
      </c>
      <c r="Q99" s="638">
        <f>H99*'Założenia,wskaźniki, listy'!$L$15</f>
        <v>0</v>
      </c>
      <c r="R99" s="635">
        <f>IF(L99="węgiel",'Mieszkalne - baza'!M99*'Założenia,wskaźniki, listy'!$B$4,IF(L99="gaz",'Mieszkalne - baza'!M99*'Założenia,wskaźniki, listy'!$B$5,IF(L99="drewno",'Mieszkalne - baza'!M99*'Założenia,wskaźniki, listy'!$B$6,IF(L99="pelet",'Mieszkalne - baza'!M99*'Założenia,wskaźniki, listy'!$B$7,IF(L99="olej opałowy",'Mieszkalne - baza'!M99*'Założenia,wskaźniki, listy'!$B$8,IF(L99="sieć ciepłownicza",0,0))))))</f>
        <v>90.44</v>
      </c>
      <c r="S99" s="1084">
        <v>1.8048000000000002</v>
      </c>
      <c r="T99" s="639">
        <f>IF(L99="węgiel",R99*'Założenia,wskaźniki, listy'!$C$44,IF(L99="gaz",R99*'Założenia,wskaźniki, listy'!$D$44,IF(L99="drewno",R99*'Założenia,wskaźniki, listy'!$E$44,IF(L99="pelet",R99*'Założenia,wskaźniki, listy'!$F$44,IF(L99="olej opałowy",R99*'Założenia,wskaźniki, listy'!$G$44,IF(L99="sieć ciepłownicza",0,IF(L99="prąd",0,0)))))))</f>
        <v>2.0348999999999999E-2</v>
      </c>
      <c r="U99" s="639">
        <f>IF(L99="węgiel",R99*'Założenia,wskaźniki, listy'!$C$45,IF(L99="gaz",R99*'Założenia,wskaźniki, listy'!$D$45,IF(L99="drewno",R99*'Założenia,wskaźniki, listy'!$E$45,IF(L99="pelet",R99*'Założenia,wskaźniki, listy'!$F$45,IF(L99="olej opałowy",R99*'Założenia,wskaźniki, listy'!$G$45,IF(L99="sieć ciepłownicza",0,IF(L99="prąd",0,0)))))))</f>
        <v>1.8178440000000001E-2</v>
      </c>
      <c r="V99" s="639">
        <f>IF(L99="węgiel",R99*'Założenia,wskaźniki, listy'!$C$46,IF(L99="gaz",R99*'Założenia,wskaźniki, listy'!$D$46,IF(L99="drewno",R99*'Założenia,wskaźniki, listy'!$E$46,IF(L99="pelet",R99*'Założenia,wskaźniki, listy'!$F$46,IF(L99="olej opałowy",R99*'Założenia,wskaźniki, listy'!$G$46,IF(L99="sieć ciepłownicza",R99*'Założenia,wskaźniki, listy'!$H$46,IF(L99="prąd",R99*'Założenia,wskaźniki, listy'!$I$46,0)))))))</f>
        <v>8.4778455999999984</v>
      </c>
      <c r="W99" s="639">
        <f>IF(L99="węgiel",R99*'Założenia,wskaźniki, listy'!$C$47,IF(L99="gaz",R99*'Założenia,wskaźniki, listy'!$D$47,IF(L99="drewno",R99*'Założenia,wskaźniki, listy'!$E$47,IF(L99="pelet",R99*'Założenia,wskaźniki, listy'!$F$47,IF(L99="olej opałowy",R99*'Założenia,wskaźniki, listy'!$G$47,IF(L99="sieć ciepłownicza",0,IF(L99="prąd",0,0)))))))</f>
        <v>2.4418800000000001E-5</v>
      </c>
      <c r="X99" s="639">
        <f>IF(L99="węgiel",R99*'Założenia,wskaźniki, listy'!$C$48, IF(L99="gaz",R99*'Założenia,wskaźniki, listy'!$D$48,IF(L99="drewno",R99*'Założenia,wskaźniki, listy'!$E$48,IF(L99="pelet",R99*'Założenia,wskaźniki, listy'!$F$48,IF(L99="olej opałowy",R99*'Założenia,wskaźniki, listy'!$G$48,IF(L99="sieć ciepłownicza",0,IF(L99="prąd",0,0)))))))</f>
        <v>8.1395999999999996E-2</v>
      </c>
      <c r="Y99" s="639">
        <f>IF(L99="węgiel",R99*'Założenia,wskaźniki, listy'!$C$49, IF(L99="gaz",R99*'Założenia,wskaźniki, listy'!$D$49, IF(L99="drewno",R99*'Założenia,wskaźniki, listy'!$E$49,IF(L99="pelet",R99*'Założenia,wskaźniki, listy'!$F$49,IF(L99="olej opałowy",R99*'Założenia,wskaźniki, listy'!$G$49,IF(L99="sieć ciepłownicza",0,IF(L99="prąd",0,0)))))))</f>
        <v>1.4289519999999998E-2</v>
      </c>
      <c r="Z99" s="639">
        <f>IF(L99="węgiel",R99*'Założenia,wskaźniki, listy'!$C$50,IF(L99="gaz",R99*'Założenia,wskaźniki, listy'!$D$50, IF(L99="drewno",R99*'Założenia,wskaźniki, listy'!$E$50,IF(L99="pelet",R99*'Założenia,wskaźniki, listy'!$F$50,IF(L99="pelet",R99*'Założenia,wskaźniki, listy'!$F$50,IF(L99="olej opałowy",R99*'Założenia,wskaźniki, listy'!$G$50,IF(L99="sieć ciepłownicza",0,IF(L99="prąd",0,0))))))))</f>
        <v>0.18193115780062583</v>
      </c>
      <c r="AA99" s="639">
        <f>IF(N99="węgiel",Q99*'Założenia,wskaźniki, listy'!$C$44,IF(N99="gaz",Q99*'Założenia,wskaźniki, listy'!$D$44,IF(N99="drewno",Q99*'Założenia,wskaźniki, listy'!$E$44,IF(N99="pelet",Q99*'Założenia,wskaźniki, listy'!$G$44,IF(N99="olej opałowy",Q99*'Założenia,wskaźniki, listy'!$G$44,IF(N99="sieć ciepłownicza",0,IF(N99="prąd",0,0)))))))</f>
        <v>0</v>
      </c>
      <c r="AB99" s="639">
        <f>IF(N99="węgiel",Q99*'Założenia,wskaźniki, listy'!$C$45,IF(N99="gaz",Q99*'Założenia,wskaźniki, listy'!$D$45,IF(N99="drewno",Q99*'Założenia,wskaźniki, listy'!$E$45,IF(N99="pelet",Q99*'Założenia,wskaźniki, listy'!$G$45,IF(N99="olej opałowy",Q99*'Założenia,wskaźniki, listy'!$G$45,IF(N99="sieć ciepłownicza",0,IF(N99="prąd",0,0)))))))</f>
        <v>0</v>
      </c>
      <c r="AC99" s="639">
        <f>IF(N99="węgiel",Q99*'Założenia,wskaźniki, listy'!$C$46,IF(N99="gaz",Q99*'Założenia,wskaźniki, listy'!$D$46,IF(N99="drewno",Q99*'Założenia,wskaźniki, listy'!$E$46,IF(N99="pelet",Q99*'Założenia,wskaźniki, listy'!$G$46,IF(N99="olej opałowy",Q99*'Założenia,wskaźniki, listy'!$G$46,IF(N99="sieć ciepłownicza",0,IF(N99="prąd",0,0)))))))</f>
        <v>0</v>
      </c>
      <c r="AD99" s="639">
        <f>IF(N99="węgiel",Q99*'Założenia,wskaźniki, listy'!$C$47,IF(N99="gaz",Q99*'Założenia,wskaźniki, listy'!$D$47,IF(N99="drewno",Q99*'Założenia,wskaźniki, listy'!$E$47,IF(N99="pelet",Q99*'Założenia,wskaźniki, listy'!$G$47,IF(N99="olej opałowy",Q99*'Założenia,wskaźniki, listy'!$G$47,IF(N99="sieć ciepłownicza",0,IF(N99="prąd",0,0)))))))</f>
        <v>0</v>
      </c>
      <c r="AE99" s="639">
        <f>IF(N99="węgiel",Q99*'Założenia,wskaźniki, listy'!$C$48,IF(N99="gaz",Q99*'Założenia,wskaźniki, listy'!$D$48,IF(N99="drewno",Q99*'Założenia,wskaźniki, listy'!$E$48,IF(N99="pelet",Q99*'Założenia,wskaźniki, listy'!$G$48,IF(N99="olej opałowy",Q99*'Założenia,wskaźniki, listy'!$G$48,IF(N99="sieć ciepłownicza",0,IF(N99="prąd",0,0)))))))</f>
        <v>0</v>
      </c>
      <c r="AF99" s="639">
        <f>IF(N99="węgiel",Q99*'Założenia,wskaźniki, listy'!$C$49,IF(N99="gaz",Q99*'Założenia,wskaźniki, listy'!$D$49,IF(N99="drewno",Q99*'Założenia,wskaźniki, listy'!$E$49,IF(N99="pelet",Q99*'Założenia,wskaźniki, listy'!$G$49,IF(N99="olej opałowy",Q99*'Założenia,wskaźniki, listy'!$G$49,IF(N99="sieć ciepłownicza",0,IF(N99="prąd",0,0)))))))</f>
        <v>0</v>
      </c>
      <c r="AG99" s="639">
        <f>IF(N99="węgiel",Q99*'Założenia,wskaźniki, listy'!$C$50,IF(N99="gaz",Q99*'Założenia,wskaźniki, listy'!$D$50,IF(N99="drewno",Q99*'Założenia,wskaźniki, listy'!$E$50,IF(N99="pelet",Q99*'Założenia,wskaźniki, listy'!$G$50,IF(N99="olej opałowy",Q99*'Założenia,wskaźniki, listy'!$G$50,IF(N99="sieć ciepłownicza",0,IF(N99="prąd",0,0)))))))</f>
        <v>0</v>
      </c>
      <c r="AH99" s="640">
        <f>IF(L99="węgiel",(P99+R99)/2*'Założenia,wskaźniki, listy'!$C$4,IF(L99="gaz",(P99+R99)/2*'Założenia,wskaźniki, listy'!$C$5,IF(L99="drewno",(P99+R99)/2*'Założenia,wskaźniki, listy'!$C$6,IF(L99="pelet",(P99+R99)/2*'Założenia,wskaźniki, listy'!$C$7,IF(L99="olej opałowy",(P99+R99)/2*'Założenia,wskaźniki, listy'!$C$8,IF(L99="sieć ciepłownicza",(P99+R99)/2*'Założenia,wskaźniki, listy'!$C$9,IF(L99="sieć ciepłownicza",(P99+R99)/2*'Założenia,wskaźniki, listy'!$C$10,)))))))</f>
        <v>4363.22</v>
      </c>
      <c r="AI99" s="640">
        <f>IF(N99="węgiel",Q99*'Założenia,wskaźniki, listy'!$C$4,IF(N99="gaz",Q99*'Założenia,wskaźniki, listy'!$C$5,IF(N99="drewno",Q99*'Założenia,wskaźniki, listy'!$C$6,IF(N99="pelet",Q99*'Założenia,wskaźniki, listy'!$C$7,IF(N99="olej opałowy",Q99*'Założenia,wskaźniki, listy'!$C$8,IF(N99="sieć ciepłownicza",Q99*'Założenia,wskaźniki, listy'!$C$9,IF(N99="sieć ciepłownicza",Q99*'Założenia,wskaźniki, listy'!$C$10,0)))))))</f>
        <v>0</v>
      </c>
      <c r="AJ99" s="640">
        <f>S99*'Założenia,wskaźniki, listy'!$B$64*1000</f>
        <v>1281.4080000000001</v>
      </c>
      <c r="AK99" s="640">
        <f>(H99+I99)*'Założenia,wskaźniki, listy'!$D$64*12</f>
        <v>0</v>
      </c>
      <c r="AL99" s="640">
        <f>AK99*'Założenia,wskaźniki, listy'!$F$64</f>
        <v>0</v>
      </c>
      <c r="AM99" s="639">
        <f t="shared" si="128"/>
        <v>2.0348999999999999E-2</v>
      </c>
      <c r="AN99" s="639">
        <f t="shared" si="129"/>
        <v>1.8178440000000001E-2</v>
      </c>
      <c r="AO99" s="639">
        <f>V99+AC99+S99*'Założenia,wskaźniki, listy'!$J$46</f>
        <v>9.9785367999999988</v>
      </c>
      <c r="AP99" s="639">
        <f t="shared" si="130"/>
        <v>2.4418800000000001E-5</v>
      </c>
      <c r="AQ99" s="639">
        <f t="shared" si="131"/>
        <v>8.1395999999999996E-2</v>
      </c>
      <c r="AR99" s="639">
        <f t="shared" si="132"/>
        <v>1.4289519999999998E-2</v>
      </c>
      <c r="AS99" s="639">
        <f t="shared" si="133"/>
        <v>0.18193115780062583</v>
      </c>
      <c r="AT99" s="647"/>
      <c r="AU99" s="647"/>
      <c r="AV99" s="624" t="b">
        <f t="shared" si="135"/>
        <v>0</v>
      </c>
      <c r="AW99" s="624">
        <f t="shared" si="136"/>
        <v>0</v>
      </c>
      <c r="AX99" s="624">
        <f t="shared" si="137"/>
        <v>170</v>
      </c>
      <c r="AY99" s="624">
        <f t="shared" si="138"/>
        <v>85</v>
      </c>
      <c r="AZ99" s="624" t="b">
        <f t="shared" si="139"/>
        <v>0</v>
      </c>
      <c r="BA99" s="624">
        <f t="shared" si="140"/>
        <v>0</v>
      </c>
      <c r="BB99" s="624" t="b">
        <f t="shared" si="141"/>
        <v>0</v>
      </c>
      <c r="BC99" s="624">
        <f t="shared" si="142"/>
        <v>0</v>
      </c>
      <c r="BD99" s="624" t="b">
        <f t="shared" si="143"/>
        <v>0</v>
      </c>
      <c r="BE99" s="624">
        <f t="shared" si="144"/>
        <v>0</v>
      </c>
      <c r="BF99" s="624">
        <f t="shared" si="145"/>
        <v>90.44</v>
      </c>
      <c r="BG99" s="624" t="b">
        <f t="shared" si="146"/>
        <v>0</v>
      </c>
      <c r="BH99" s="624" t="b">
        <f t="shared" si="147"/>
        <v>0</v>
      </c>
      <c r="BI99" s="624" t="b">
        <f t="shared" si="148"/>
        <v>0</v>
      </c>
      <c r="BJ99" s="624" t="b">
        <f t="shared" si="149"/>
        <v>0</v>
      </c>
      <c r="BK99" s="624" t="b">
        <f t="shared" si="150"/>
        <v>0</v>
      </c>
      <c r="BL99" s="624" t="b">
        <f t="shared" si="151"/>
        <v>0</v>
      </c>
      <c r="BM99" s="624" t="b">
        <f t="shared" si="152"/>
        <v>0</v>
      </c>
      <c r="BN99" s="624" t="b">
        <f t="shared" si="153"/>
        <v>0</v>
      </c>
      <c r="BO99" s="624" t="b">
        <f t="shared" si="154"/>
        <v>0</v>
      </c>
      <c r="BP99" s="624" t="b">
        <f t="shared" si="155"/>
        <v>0</v>
      </c>
      <c r="BQ99" s="624" t="b">
        <f t="shared" si="156"/>
        <v>0</v>
      </c>
    </row>
    <row r="100" spans="1:69">
      <c r="A100" s="1086"/>
      <c r="B100" s="872"/>
      <c r="C100" s="872"/>
      <c r="D100" s="645"/>
      <c r="E100" s="645"/>
      <c r="F100" s="644"/>
      <c r="G100" s="644"/>
      <c r="H100" s="644"/>
      <c r="I100" s="635"/>
      <c r="J100" s="644">
        <f>IF(F100&lt;=1966,'Założenia,wskaźniki, listy'!$H$4,IF(F100&gt;1966,IF(F100&lt;=1985,'Założenia,wskaźniki, listy'!$H$5,IF(F100&gt;1985,IF(F100&lt;=1992,'Założenia,wskaźniki, listy'!$H$6,IF(F100&gt;1992,IF(F100&lt;=1996,'Założenia,wskaźniki, listy'!$H$7,IF(F100&gt;1996,IF(F100&lt;=2015,'Założenia,wskaźniki, listy'!$H$8)))))))))</f>
        <v>290</v>
      </c>
      <c r="K100" s="872"/>
      <c r="L100" s="644" t="s">
        <v>79</v>
      </c>
      <c r="M100" s="644">
        <v>2</v>
      </c>
      <c r="N100" s="644"/>
      <c r="O100" s="637">
        <f t="shared" ref="O100" si="164">IF(P100&gt;0,(Q100+R100+P100)/2,Q100+R100)</f>
        <v>30</v>
      </c>
      <c r="P100" s="646">
        <f>IF(K100="kompletna",J100*G100*0.0036*'Założenia,wskaźniki, listy'!$P$9,IF(K100="częściowa",J100*G100*0.0036*'Założenia,wskaźniki, listy'!$P$10,IF(K100="brak",J100*G100*0.0036*'Założenia,wskaźniki, listy'!$P$11,0)))</f>
        <v>0</v>
      </c>
      <c r="Q100" s="638">
        <f>H100*'Założenia,wskaźniki, listy'!$L$15</f>
        <v>0</v>
      </c>
      <c r="R100" s="635">
        <f>IF(L100="węgiel",'Mieszkalne - baza'!M100*'Założenia,wskaźniki, listy'!$B$4,IF(L100="gaz",'Mieszkalne - baza'!M100*'Założenia,wskaźniki, listy'!$B$5,IF(L100="drewno",'Mieszkalne - baza'!M100*'Założenia,wskaźniki, listy'!$B$6,IF(L100="pelet",'Mieszkalne - baza'!M100*'Założenia,wskaźniki, listy'!$B$7,IF(L100="olej opałowy",'Mieszkalne - baza'!M100*'Założenia,wskaźniki, listy'!$B$8,IF(L100="sieć ciepłownicza",0,0))))))</f>
        <v>30</v>
      </c>
      <c r="S100" s="1085"/>
      <c r="T100" s="639">
        <f>IF(L100="węgiel",R100*'Założenia,wskaźniki, listy'!$C$44,IF(L100="gaz",R100*'Założenia,wskaźniki, listy'!$D$44,IF(L100="drewno",R100*'Założenia,wskaźniki, listy'!$E$44,IF(L100="pelet",R100*'Założenia,wskaźniki, listy'!$F$44,IF(L100="olej opałowy",R100*'Założenia,wskaźniki, listy'!$G$44,IF(L100="sieć ciepłownicza",0,IF(L100="prąd",0,0)))))))</f>
        <v>1.44E-2</v>
      </c>
      <c r="U100" s="639">
        <f>IF(L100="węgiel",R100*'Założenia,wskaźniki, listy'!$C$45,IF(L100="gaz",R100*'Założenia,wskaźniki, listy'!$D$45,IF(L100="drewno",R100*'Założenia,wskaźniki, listy'!$E$45,IF(L100="pelet",R100*'Założenia,wskaźniki, listy'!$F$45,IF(L100="olej opałowy",R100*'Założenia,wskaźniki, listy'!$G$45,IF(L100="sieć ciepłownicza",0,IF(L100="prąd",0,0)))))))</f>
        <v>1.41E-2</v>
      </c>
      <c r="V100" s="639">
        <f>IF(L100="węgiel",R100*'Założenia,wskaźniki, listy'!$C$46,IF(L100="gaz",R100*'Założenia,wskaźniki, listy'!$D$46,IF(L100="drewno",R100*'Założenia,wskaźniki, listy'!$E$46,IF(L100="pelet",R100*'Założenia,wskaźniki, listy'!$F$46,IF(L100="olej opałowy",R100*'Założenia,wskaźniki, listy'!$G$46,IF(L100="sieć ciepłownicza",R100*'Założenia,wskaźniki, listy'!$H$46,IF(L100="prąd",R100*'Założenia,wskaźniki, listy'!$I$46,0)))))))</f>
        <v>0</v>
      </c>
      <c r="W100" s="639">
        <f>IF(L100="węgiel",R100*'Założenia,wskaźniki, listy'!$C$47,IF(L100="gaz",R100*'Założenia,wskaźniki, listy'!$D$47,IF(L100="drewno",R100*'Założenia,wskaźniki, listy'!$E$47,IF(L100="pelet",R100*'Założenia,wskaźniki, listy'!$F$47,IF(L100="olej opałowy",R100*'Założenia,wskaźniki, listy'!$G$47,IF(L100="sieć ciepłownicza",0,IF(L100="prąd",0,0)))))))</f>
        <v>3.6300000000000004E-6</v>
      </c>
      <c r="X100" s="639">
        <f>IF(L100="węgiel",R100*'Założenia,wskaźniki, listy'!$C$48, IF(L100="gaz",R100*'Założenia,wskaźniki, listy'!$D$48,IF(L100="drewno",R100*'Założenia,wskaźniki, listy'!$E$48,IF(L100="pelet",R100*'Założenia,wskaźniki, listy'!$F$48,IF(L100="olej opałowy",R100*'Założenia,wskaźniki, listy'!$G$48,IF(L100="sieć ciepłownicza",0,IF(L100="prąd",0,0)))))))</f>
        <v>3.3E-4</v>
      </c>
      <c r="Y100" s="639">
        <f>IF(L100="węgiel",R100*'Założenia,wskaźniki, listy'!$C$49, IF(L100="gaz",R100*'Założenia,wskaźniki, listy'!$D$49, IF(L100="drewno",R100*'Założenia,wskaźniki, listy'!$E$49,IF(L100="pelet",R100*'Założenia,wskaźniki, listy'!$F$49,IF(L100="olej opałowy",R100*'Założenia,wskaźniki, listy'!$G$49,IF(L100="sieć ciepłownicza",0,IF(L100="prąd",0,0)))))))</f>
        <v>2.4000000000000002E-3</v>
      </c>
      <c r="Z100" s="639">
        <f>IF(L100="węgiel",R100*'Założenia,wskaźniki, listy'!$C$50,IF(L100="gaz",R100*'Założenia,wskaźniki, listy'!$D$50, IF(L100="drewno",R100*'Założenia,wskaźniki, listy'!$E$50,IF(L100="pelet",R100*'Założenia,wskaźniki, listy'!$F$50,IF(L100="pelet",R100*'Założenia,wskaźniki, listy'!$F$50,IF(L100="olej opałowy",R100*'Założenia,wskaźniki, listy'!$G$50,IF(L100="sieć ciepłownicza",0,IF(L100="prąd",0,0))))))))</f>
        <v>5.3819999999999996E-3</v>
      </c>
      <c r="AA100" s="639">
        <f>IF(N100="węgiel",Q100*'Założenia,wskaźniki, listy'!$C$44,IF(N100="gaz",Q100*'Założenia,wskaźniki, listy'!$D$44,IF(N100="drewno",Q100*'Założenia,wskaźniki, listy'!$E$44,IF(N100="pelet",Q100*'Założenia,wskaźniki, listy'!$G$44,IF(N100="olej opałowy",Q100*'Założenia,wskaźniki, listy'!$G$44,IF(N100="sieć ciepłownicza",0,IF(N100="prąd",0,0)))))))</f>
        <v>0</v>
      </c>
      <c r="AB100" s="639">
        <f>IF(N100="węgiel",Q100*'Założenia,wskaźniki, listy'!$C$45,IF(N100="gaz",Q100*'Założenia,wskaźniki, listy'!$D$45,IF(N100="drewno",Q100*'Założenia,wskaźniki, listy'!$E$45,IF(N100="pelet",Q100*'Założenia,wskaźniki, listy'!$G$45,IF(N100="olej opałowy",Q100*'Założenia,wskaźniki, listy'!$G$45,IF(N100="sieć ciepłownicza",0,IF(N100="prąd",0,0)))))))</f>
        <v>0</v>
      </c>
      <c r="AC100" s="639">
        <f>IF(N100="węgiel",Q100*'Założenia,wskaźniki, listy'!$C$46,IF(N100="gaz",Q100*'Założenia,wskaźniki, listy'!$D$46,IF(N100="drewno",Q100*'Założenia,wskaźniki, listy'!$E$46,IF(N100="pelet",Q100*'Założenia,wskaźniki, listy'!$G$46,IF(N100="olej opałowy",Q100*'Założenia,wskaźniki, listy'!$G$46,IF(N100="sieć ciepłownicza",0,IF(N100="prąd",0,0)))))))</f>
        <v>0</v>
      </c>
      <c r="AD100" s="639">
        <f>IF(N100="węgiel",Q100*'Założenia,wskaźniki, listy'!$C$47,IF(N100="gaz",Q100*'Założenia,wskaźniki, listy'!$D$47,IF(N100="drewno",Q100*'Założenia,wskaźniki, listy'!$E$47,IF(N100="pelet",Q100*'Założenia,wskaźniki, listy'!$G$47,IF(N100="olej opałowy",Q100*'Założenia,wskaźniki, listy'!$G$47,IF(N100="sieć ciepłownicza",0,IF(N100="prąd",0,0)))))))</f>
        <v>0</v>
      </c>
      <c r="AE100" s="639">
        <f>IF(N100="węgiel",Q100*'Założenia,wskaźniki, listy'!$C$48,IF(N100="gaz",Q100*'Założenia,wskaźniki, listy'!$D$48,IF(N100="drewno",Q100*'Założenia,wskaźniki, listy'!$E$48,IF(N100="pelet",Q100*'Założenia,wskaźniki, listy'!$G$48,IF(N100="olej opałowy",Q100*'Założenia,wskaźniki, listy'!$G$48,IF(N100="sieć ciepłownicza",0,IF(N100="prąd",0,0)))))))</f>
        <v>0</v>
      </c>
      <c r="AF100" s="639">
        <f>IF(N100="węgiel",Q100*'Założenia,wskaźniki, listy'!$C$49,IF(N100="gaz",Q100*'Założenia,wskaźniki, listy'!$D$49,IF(N100="drewno",Q100*'Założenia,wskaźniki, listy'!$E$49,IF(N100="pelet",Q100*'Założenia,wskaźniki, listy'!$G$49,IF(N100="olej opałowy",Q100*'Założenia,wskaźniki, listy'!$G$49,IF(N100="sieć ciepłownicza",0,IF(N100="prąd",0,0)))))))</f>
        <v>0</v>
      </c>
      <c r="AG100" s="639">
        <f>IF(N100="węgiel",Q100*'Założenia,wskaźniki, listy'!$C$50,IF(N100="gaz",Q100*'Założenia,wskaźniki, listy'!$D$50,IF(N100="drewno",Q100*'Założenia,wskaźniki, listy'!$E$50,IF(N100="pelet",Q100*'Założenia,wskaźniki, listy'!$G$50,IF(N100="olej opałowy",Q100*'Założenia,wskaźniki, listy'!$G$50,IF(N100="sieć ciepłownicza",0,IF(N100="prąd",0,0)))))))</f>
        <v>0</v>
      </c>
      <c r="AH100" s="640">
        <f>IF(L100="węgiel",(P100+R100)/2*'Założenia,wskaźniki, listy'!$C$4,IF(L100="gaz",(P100+R100)/2*'Założenia,wskaźniki, listy'!$C$5,IF(L100="drewno",(P100+R100)/2*'Założenia,wskaźniki, listy'!$C$6,IF(L100="pelet",(P100+R100)/2*'Założenia,wskaźniki, listy'!$C$7,IF(L100="olej opałowy",(P100+R100)/2*'Założenia,wskaźniki, listy'!$C$8,IF(L100="sieć ciepłownicza",(P100+R100)/2*'Założenia,wskaźniki, listy'!$C$9,IF(L100="sieć ciepłownicza",(P100+R100)/2*'Założenia,wskaźniki, listy'!$C$10,)))))))</f>
        <v>570</v>
      </c>
      <c r="AI100" s="640">
        <f>IF(N100="węgiel",Q100*'Założenia,wskaźniki, listy'!$C$4,IF(N100="gaz",Q100*'Założenia,wskaźniki, listy'!$C$5,IF(N100="drewno",Q100*'Założenia,wskaźniki, listy'!$C$6,IF(N100="pelet",Q100*'Założenia,wskaźniki, listy'!$C$7,IF(N100="olej opałowy",Q100*'Założenia,wskaźniki, listy'!$C$8,IF(N100="sieć ciepłownicza",Q100*'Założenia,wskaźniki, listy'!$C$9,IF(N100="sieć ciepłownicza",Q100*'Założenia,wskaźniki, listy'!$C$10,0)))))))</f>
        <v>0</v>
      </c>
      <c r="AJ100" s="640">
        <f>S100*'Założenia,wskaźniki, listy'!$B$64*1000</f>
        <v>0</v>
      </c>
      <c r="AK100" s="640">
        <f>(H100+I100)*'Założenia,wskaźniki, listy'!$D$64*12</f>
        <v>0</v>
      </c>
      <c r="AL100" s="640">
        <f>AK100*'Założenia,wskaźniki, listy'!$F$64</f>
        <v>0</v>
      </c>
      <c r="AM100" s="639">
        <f t="shared" ref="AM100" si="165">T100+AA100</f>
        <v>1.44E-2</v>
      </c>
      <c r="AN100" s="639">
        <f t="shared" ref="AN100" si="166">U100+AB100</f>
        <v>1.41E-2</v>
      </c>
      <c r="AO100" s="639">
        <f>V100+AC100+S100*'Założenia,wskaźniki, listy'!$J$46</f>
        <v>0</v>
      </c>
      <c r="AP100" s="639">
        <f t="shared" ref="AP100" si="167">W100+AD100</f>
        <v>3.6300000000000004E-6</v>
      </c>
      <c r="AQ100" s="639">
        <f t="shared" ref="AQ100" si="168">X100+AE100</f>
        <v>3.3E-4</v>
      </c>
      <c r="AR100" s="639">
        <f t="shared" ref="AR100" si="169">Y100+AF100</f>
        <v>2.4000000000000002E-3</v>
      </c>
      <c r="AS100" s="639">
        <f t="shared" ref="AS100" si="170">Z100+AG100</f>
        <v>5.3819999999999996E-3</v>
      </c>
      <c r="AT100" s="647"/>
      <c r="AU100" s="647"/>
      <c r="AV100" s="624">
        <f t="shared" si="135"/>
        <v>0</v>
      </c>
      <c r="AW100" s="624" t="b">
        <f t="shared" si="136"/>
        <v>0</v>
      </c>
      <c r="AX100" s="624" t="b">
        <f t="shared" si="137"/>
        <v>0</v>
      </c>
      <c r="AY100" s="624" t="b">
        <f t="shared" si="138"/>
        <v>0</v>
      </c>
      <c r="AZ100" s="624" t="b">
        <f t="shared" si="139"/>
        <v>0</v>
      </c>
      <c r="BA100" s="624" t="b">
        <f t="shared" si="140"/>
        <v>0</v>
      </c>
      <c r="BB100" s="624" t="b">
        <f t="shared" si="141"/>
        <v>0</v>
      </c>
      <c r="BC100" s="624" t="b">
        <f t="shared" si="142"/>
        <v>0</v>
      </c>
      <c r="BD100" s="624" t="b">
        <f t="shared" si="143"/>
        <v>0</v>
      </c>
      <c r="BE100" s="624" t="b">
        <f t="shared" si="144"/>
        <v>0</v>
      </c>
      <c r="BF100" s="624" t="b">
        <f t="shared" si="145"/>
        <v>0</v>
      </c>
      <c r="BG100" s="624" t="b">
        <f t="shared" si="146"/>
        <v>0</v>
      </c>
      <c r="BH100" s="624">
        <f t="shared" si="147"/>
        <v>30</v>
      </c>
      <c r="BI100" s="624" t="b">
        <f t="shared" si="148"/>
        <v>0</v>
      </c>
      <c r="BJ100" s="624" t="b">
        <f t="shared" si="149"/>
        <v>0</v>
      </c>
      <c r="BK100" s="624" t="b">
        <f t="shared" si="150"/>
        <v>0</v>
      </c>
      <c r="BL100" s="624" t="b">
        <f t="shared" si="151"/>
        <v>0</v>
      </c>
      <c r="BM100" s="624" t="b">
        <f t="shared" si="152"/>
        <v>0</v>
      </c>
      <c r="BN100" s="624" t="b">
        <f t="shared" si="153"/>
        <v>0</v>
      </c>
      <c r="BO100" s="624" t="b">
        <f t="shared" si="154"/>
        <v>0</v>
      </c>
      <c r="BP100" s="624" t="b">
        <f t="shared" si="155"/>
        <v>0</v>
      </c>
      <c r="BQ100" s="624" t="b">
        <f t="shared" si="156"/>
        <v>0</v>
      </c>
    </row>
    <row r="101" spans="1:69">
      <c r="A101" s="1086">
        <v>49</v>
      </c>
      <c r="B101" s="872" t="s">
        <v>21</v>
      </c>
      <c r="C101" s="873" t="s">
        <v>621</v>
      </c>
      <c r="D101" s="645" t="s">
        <v>628</v>
      </c>
      <c r="E101" s="645">
        <v>1</v>
      </c>
      <c r="F101" s="644">
        <v>1991</v>
      </c>
      <c r="G101" s="644">
        <v>220</v>
      </c>
      <c r="H101" s="644"/>
      <c r="I101" s="635"/>
      <c r="J101" s="644">
        <f>IF(F101&lt;=1966,'Założenia,wskaźniki, listy'!$H$4,IF(F101&gt;1966,IF(F101&lt;=1985,'Założenia,wskaźniki, listy'!$H$5,IF(F101&gt;1985,IF(F101&lt;=1992,'Założenia,wskaźniki, listy'!$H$6,IF(F101&gt;1992,IF(F101&lt;=1996,'Założenia,wskaźniki, listy'!$H$7,IF(F101&gt;1996,IF(F101&lt;=2015,'Założenia,wskaźniki, listy'!$H$8)))))))))</f>
        <v>175</v>
      </c>
      <c r="K101" s="864" t="s">
        <v>32</v>
      </c>
      <c r="L101" s="644" t="s">
        <v>79</v>
      </c>
      <c r="M101" s="644">
        <v>5</v>
      </c>
      <c r="N101" s="644"/>
      <c r="O101" s="637">
        <f t="shared" si="134"/>
        <v>79.08</v>
      </c>
      <c r="P101" s="646">
        <f>IF(K101="kompletna",J101*G101*0.0036*'Założenia,wskaźniki, listy'!$P$9,IF(K101="częściowa",J101*G101*0.0036*'Założenia,wskaźniki, listy'!$P$10,IF(K101="brak",J101*G101*0.0036*'Założenia,wskaźniki, listy'!$P$11,0)))</f>
        <v>83.16</v>
      </c>
      <c r="Q101" s="638">
        <f>H101*'Założenia,wskaźniki, listy'!$L$15</f>
        <v>0</v>
      </c>
      <c r="R101" s="635">
        <f>IF(L101="węgiel",'Mieszkalne - baza'!M101*'Założenia,wskaźniki, listy'!$B$4,IF(L101="gaz",'Mieszkalne - baza'!M101*'Założenia,wskaźniki, listy'!$B$5,IF(L101="drewno",'Mieszkalne - baza'!M101*'Założenia,wskaźniki, listy'!$B$6,IF(L101="pelet",'Mieszkalne - baza'!M101*'Założenia,wskaźniki, listy'!$B$7,IF(L101="olej opałowy",'Mieszkalne - baza'!M101*'Założenia,wskaźniki, listy'!$B$8,IF(L101="sieć ciepłownicza",0,0))))))</f>
        <v>75</v>
      </c>
      <c r="S101" s="1084">
        <v>1.6355999999999999</v>
      </c>
      <c r="T101" s="639">
        <f>IF(L101="węgiel",R101*'Założenia,wskaźniki, listy'!$C$44,IF(L101="gaz",R101*'Założenia,wskaźniki, listy'!$D$44,IF(L101="drewno",R101*'Założenia,wskaźniki, listy'!$E$44,IF(L101="pelet",R101*'Założenia,wskaźniki, listy'!$F$44,IF(L101="olej opałowy",R101*'Założenia,wskaźniki, listy'!$G$44,IF(L101="sieć ciepłownicza",0,IF(L101="prąd",0,0)))))))</f>
        <v>3.6000000000000004E-2</v>
      </c>
      <c r="U101" s="639">
        <f>IF(L101="węgiel",R101*'Założenia,wskaźniki, listy'!$C$45,IF(L101="gaz",R101*'Założenia,wskaźniki, listy'!$D$45,IF(L101="drewno",R101*'Założenia,wskaźniki, listy'!$E$45,IF(L101="pelet",R101*'Założenia,wskaźniki, listy'!$F$45,IF(L101="olej opałowy",R101*'Założenia,wskaźniki, listy'!$G$45,IF(L101="sieć ciepłownicza",0,IF(L101="prąd",0,0)))))))</f>
        <v>3.5249999999999997E-2</v>
      </c>
      <c r="V101" s="639">
        <f>IF(L101="węgiel",R101*'Założenia,wskaźniki, listy'!$C$46,IF(L101="gaz",R101*'Założenia,wskaźniki, listy'!$D$46,IF(L101="drewno",R101*'Założenia,wskaźniki, listy'!$E$46,IF(L101="pelet",R101*'Założenia,wskaźniki, listy'!$F$46,IF(L101="olej opałowy",R101*'Założenia,wskaźniki, listy'!$G$46,IF(L101="sieć ciepłownicza",R101*'Założenia,wskaźniki, listy'!$H$46,IF(L101="prąd",R101*'Założenia,wskaźniki, listy'!$I$46,0)))))))</f>
        <v>0</v>
      </c>
      <c r="W101" s="639">
        <f>IF(L101="węgiel",R101*'Założenia,wskaźniki, listy'!$C$47,IF(L101="gaz",R101*'Założenia,wskaźniki, listy'!$D$47,IF(L101="drewno",R101*'Założenia,wskaźniki, listy'!$E$47,IF(L101="pelet",R101*'Założenia,wskaźniki, listy'!$F$47,IF(L101="olej opałowy",R101*'Założenia,wskaźniki, listy'!$G$47,IF(L101="sieć ciepłownicza",0,IF(L101="prąd",0,0)))))))</f>
        <v>9.0750000000000004E-6</v>
      </c>
      <c r="X101" s="639">
        <f>IF(L101="węgiel",R101*'Założenia,wskaźniki, listy'!$C$48, IF(L101="gaz",R101*'Założenia,wskaźniki, listy'!$D$48,IF(L101="drewno",R101*'Założenia,wskaźniki, listy'!$E$48,IF(L101="pelet",R101*'Założenia,wskaźniki, listy'!$F$48,IF(L101="olej opałowy",R101*'Założenia,wskaźniki, listy'!$G$48,IF(L101="sieć ciepłownicza",0,IF(L101="prąd",0,0)))))))</f>
        <v>8.25E-4</v>
      </c>
      <c r="Y101" s="639">
        <f>IF(L101="węgiel",R101*'Założenia,wskaźniki, listy'!$C$49, IF(L101="gaz",R101*'Założenia,wskaźniki, listy'!$D$49, IF(L101="drewno",R101*'Założenia,wskaźniki, listy'!$E$49,IF(L101="pelet",R101*'Założenia,wskaźniki, listy'!$F$49,IF(L101="olej opałowy",R101*'Założenia,wskaźniki, listy'!$G$49,IF(L101="sieć ciepłownicza",0,IF(L101="prąd",0,0)))))))</f>
        <v>6.0000000000000001E-3</v>
      </c>
      <c r="Z101" s="639">
        <f>IF(L101="węgiel",R101*'Założenia,wskaźniki, listy'!$C$50,IF(L101="gaz",R101*'Założenia,wskaźniki, listy'!$D$50, IF(L101="drewno",R101*'Założenia,wskaźniki, listy'!$E$50,IF(L101="pelet",R101*'Założenia,wskaźniki, listy'!$F$50,IF(L101="pelet",R101*'Założenia,wskaźniki, listy'!$F$50,IF(L101="olej opałowy",R101*'Założenia,wskaźniki, listy'!$G$50,IF(L101="sieć ciepłownicza",0,IF(L101="prąd",0,0))))))))</f>
        <v>1.3455E-2</v>
      </c>
      <c r="AA101" s="639">
        <f>IF(N101="węgiel",Q101*'Założenia,wskaźniki, listy'!$C$44,IF(N101="gaz",Q101*'Założenia,wskaźniki, listy'!$D$44,IF(N101="drewno",Q101*'Założenia,wskaźniki, listy'!$E$44,IF(N101="pelet",Q101*'Założenia,wskaźniki, listy'!$G$44,IF(N101="olej opałowy",Q101*'Założenia,wskaźniki, listy'!$G$44,IF(N101="sieć ciepłownicza",0,IF(N101="prąd",0,0)))))))</f>
        <v>0</v>
      </c>
      <c r="AB101" s="639">
        <f>IF(N101="węgiel",Q101*'Założenia,wskaźniki, listy'!$C$45,IF(N101="gaz",Q101*'Założenia,wskaźniki, listy'!$D$45,IF(N101="drewno",Q101*'Założenia,wskaźniki, listy'!$E$45,IF(N101="pelet",Q101*'Założenia,wskaźniki, listy'!$G$45,IF(N101="olej opałowy",Q101*'Założenia,wskaźniki, listy'!$G$45,IF(N101="sieć ciepłownicza",0,IF(N101="prąd",0,0)))))))</f>
        <v>0</v>
      </c>
      <c r="AC101" s="639">
        <f>IF(N101="węgiel",Q101*'Założenia,wskaźniki, listy'!$C$46,IF(N101="gaz",Q101*'Założenia,wskaźniki, listy'!$D$46,IF(N101="drewno",Q101*'Założenia,wskaźniki, listy'!$E$46,IF(N101="pelet",Q101*'Założenia,wskaźniki, listy'!$G$46,IF(N101="olej opałowy",Q101*'Założenia,wskaźniki, listy'!$G$46,IF(N101="sieć ciepłownicza",0,IF(N101="prąd",0,0)))))))</f>
        <v>0</v>
      </c>
      <c r="AD101" s="639">
        <f>IF(N101="węgiel",Q101*'Założenia,wskaźniki, listy'!$C$47,IF(N101="gaz",Q101*'Założenia,wskaźniki, listy'!$D$47,IF(N101="drewno",Q101*'Założenia,wskaźniki, listy'!$E$47,IF(N101="pelet",Q101*'Założenia,wskaźniki, listy'!$G$47,IF(N101="olej opałowy",Q101*'Założenia,wskaźniki, listy'!$G$47,IF(N101="sieć ciepłownicza",0,IF(N101="prąd",0,0)))))))</f>
        <v>0</v>
      </c>
      <c r="AE101" s="639">
        <f>IF(N101="węgiel",Q101*'Założenia,wskaźniki, listy'!$C$48,IF(N101="gaz",Q101*'Założenia,wskaźniki, listy'!$D$48,IF(N101="drewno",Q101*'Założenia,wskaźniki, listy'!$E$48,IF(N101="pelet",Q101*'Założenia,wskaźniki, listy'!$G$48,IF(N101="olej opałowy",Q101*'Założenia,wskaźniki, listy'!$G$48,IF(N101="sieć ciepłownicza",0,IF(N101="prąd",0,0)))))))</f>
        <v>0</v>
      </c>
      <c r="AF101" s="639">
        <f>IF(N101="węgiel",Q101*'Założenia,wskaźniki, listy'!$C$49,IF(N101="gaz",Q101*'Założenia,wskaźniki, listy'!$D$49,IF(N101="drewno",Q101*'Założenia,wskaźniki, listy'!$E$49,IF(N101="pelet",Q101*'Założenia,wskaźniki, listy'!$G$49,IF(N101="olej opałowy",Q101*'Założenia,wskaźniki, listy'!$G$49,IF(N101="sieć ciepłownicza",0,IF(N101="prąd",0,0)))))))</f>
        <v>0</v>
      </c>
      <c r="AG101" s="639">
        <f>IF(N101="węgiel",Q101*'Założenia,wskaźniki, listy'!$C$50,IF(N101="gaz",Q101*'Założenia,wskaźniki, listy'!$D$50,IF(N101="drewno",Q101*'Założenia,wskaźniki, listy'!$E$50,IF(N101="pelet",Q101*'Założenia,wskaźniki, listy'!$G$50,IF(N101="olej opałowy",Q101*'Założenia,wskaźniki, listy'!$G$50,IF(N101="sieć ciepłownicza",0,IF(N101="prąd",0,0)))))))</f>
        <v>0</v>
      </c>
      <c r="AH101" s="640">
        <f>IF(L101="węgiel",(P101+R101)/2*'Założenia,wskaźniki, listy'!$C$4,IF(L101="gaz",(P101+R101)/2*'Założenia,wskaźniki, listy'!$C$5,IF(L101="drewno",(P101+R101)/2*'Założenia,wskaźniki, listy'!$C$6,IF(L101="pelet",(P101+R101)/2*'Założenia,wskaźniki, listy'!$C$7,IF(L101="olej opałowy",(P101+R101)/2*'Założenia,wskaźniki, listy'!$C$8,IF(L101="sieć ciepłownicza",(P101+R101)/2*'Założenia,wskaźniki, listy'!$C$9,IF(L101="sieć ciepłownicza",(P101+R101)/2*'Założenia,wskaźniki, listy'!$C$10,)))))))</f>
        <v>3005.04</v>
      </c>
      <c r="AI101" s="640">
        <f>IF(N101="węgiel",Q101*'Założenia,wskaźniki, listy'!$C$4,IF(N101="gaz",Q101*'Założenia,wskaźniki, listy'!$C$5,IF(N101="drewno",Q101*'Założenia,wskaźniki, listy'!$C$6,IF(N101="pelet",Q101*'Założenia,wskaźniki, listy'!$C$7,IF(N101="olej opałowy",Q101*'Założenia,wskaźniki, listy'!$C$8,IF(N101="sieć ciepłownicza",Q101*'Założenia,wskaźniki, listy'!$C$9,IF(N101="sieć ciepłownicza",Q101*'Założenia,wskaźniki, listy'!$C$10,0)))))))</f>
        <v>0</v>
      </c>
      <c r="AJ101" s="640">
        <f>S101*'Założenia,wskaźniki, listy'!$B$64*1000</f>
        <v>1161.2760000000001</v>
      </c>
      <c r="AK101" s="640">
        <f>(H101+I101)*'Założenia,wskaźniki, listy'!$D$64*12</f>
        <v>0</v>
      </c>
      <c r="AL101" s="640">
        <f>AK101*'Założenia,wskaźniki, listy'!$F$64</f>
        <v>0</v>
      </c>
      <c r="AM101" s="639">
        <f t="shared" si="128"/>
        <v>3.6000000000000004E-2</v>
      </c>
      <c r="AN101" s="639">
        <f t="shared" si="129"/>
        <v>3.5249999999999997E-2</v>
      </c>
      <c r="AO101" s="639">
        <f>V101+AC101+S101*'Założenia,wskaźniki, listy'!$J$46</f>
        <v>1.3600014</v>
      </c>
      <c r="AP101" s="639">
        <f t="shared" si="130"/>
        <v>9.0750000000000004E-6</v>
      </c>
      <c r="AQ101" s="639">
        <f t="shared" si="131"/>
        <v>8.25E-4</v>
      </c>
      <c r="AR101" s="639">
        <f t="shared" si="132"/>
        <v>6.0000000000000001E-3</v>
      </c>
      <c r="AS101" s="639">
        <f t="shared" si="133"/>
        <v>1.3455E-2</v>
      </c>
      <c r="AT101" s="647"/>
      <c r="AU101" s="647"/>
      <c r="AV101" s="624" t="b">
        <f t="shared" si="135"/>
        <v>0</v>
      </c>
      <c r="AW101" s="624" t="b">
        <f t="shared" si="136"/>
        <v>0</v>
      </c>
      <c r="AX101" s="624" t="b">
        <f t="shared" si="137"/>
        <v>0</v>
      </c>
      <c r="AY101" s="624" t="b">
        <f t="shared" si="138"/>
        <v>0</v>
      </c>
      <c r="AZ101" s="624">
        <f t="shared" si="139"/>
        <v>220</v>
      </c>
      <c r="BA101" s="624">
        <f t="shared" si="140"/>
        <v>220</v>
      </c>
      <c r="BB101" s="624" t="b">
        <f t="shared" si="141"/>
        <v>0</v>
      </c>
      <c r="BC101" s="624" t="b">
        <f t="shared" si="142"/>
        <v>0</v>
      </c>
      <c r="BD101" s="624" t="b">
        <f t="shared" si="143"/>
        <v>0</v>
      </c>
      <c r="BE101" s="624" t="b">
        <f t="shared" si="144"/>
        <v>0</v>
      </c>
      <c r="BF101" s="624" t="b">
        <f t="shared" si="145"/>
        <v>0</v>
      </c>
      <c r="BG101" s="624" t="b">
        <f t="shared" si="146"/>
        <v>0</v>
      </c>
      <c r="BH101" s="624">
        <f t="shared" si="147"/>
        <v>75</v>
      </c>
      <c r="BI101" s="624" t="b">
        <f t="shared" si="148"/>
        <v>0</v>
      </c>
      <c r="BJ101" s="624" t="b">
        <f t="shared" si="149"/>
        <v>0</v>
      </c>
      <c r="BK101" s="624" t="b">
        <f t="shared" si="150"/>
        <v>0</v>
      </c>
      <c r="BL101" s="624" t="b">
        <f t="shared" si="151"/>
        <v>0</v>
      </c>
      <c r="BM101" s="624" t="b">
        <f t="shared" si="152"/>
        <v>0</v>
      </c>
      <c r="BN101" s="624" t="b">
        <f t="shared" si="153"/>
        <v>0</v>
      </c>
      <c r="BO101" s="624" t="b">
        <f t="shared" si="154"/>
        <v>0</v>
      </c>
      <c r="BP101" s="624" t="b">
        <f t="shared" si="155"/>
        <v>0</v>
      </c>
      <c r="BQ101" s="624" t="b">
        <f t="shared" si="156"/>
        <v>0</v>
      </c>
    </row>
    <row r="102" spans="1:69">
      <c r="A102" s="1086"/>
      <c r="B102" s="872"/>
      <c r="C102" s="872"/>
      <c r="D102" s="645"/>
      <c r="E102" s="645"/>
      <c r="F102" s="644"/>
      <c r="G102" s="644"/>
      <c r="H102" s="644"/>
      <c r="I102" s="635"/>
      <c r="J102" s="644">
        <f>IF(F102&lt;=1966,'Założenia,wskaźniki, listy'!$H$4,IF(F102&gt;1966,IF(F102&lt;=1985,'Założenia,wskaźniki, listy'!$H$5,IF(F102&gt;1985,IF(F102&lt;=1992,'Założenia,wskaźniki, listy'!$H$6,IF(F102&gt;1992,IF(F102&lt;=1996,'Założenia,wskaźniki, listy'!$H$7,IF(F102&gt;1996,IF(F102&lt;=2015,'Założenia,wskaźniki, listy'!$H$8)))))))))</f>
        <v>290</v>
      </c>
      <c r="K102" s="864"/>
      <c r="L102" s="644"/>
      <c r="M102" s="644"/>
      <c r="N102" s="644"/>
      <c r="O102" s="637">
        <f t="shared" ref="O102" si="171">IF(P102&gt;0,(Q102+R102+P102)/2,Q102+R102)</f>
        <v>0</v>
      </c>
      <c r="P102" s="646">
        <f>IF(K102="kompletna",J102*G102*0.0036*'Założenia,wskaźniki, listy'!$P$9,IF(K102="częściowa",J102*G102*0.0036*'Założenia,wskaźniki, listy'!$P$10,IF(K102="brak",J102*G102*0.0036*'Założenia,wskaźniki, listy'!$P$11,0)))</f>
        <v>0</v>
      </c>
      <c r="Q102" s="638">
        <f>H102*'Założenia,wskaźniki, listy'!$L$15</f>
        <v>0</v>
      </c>
      <c r="R102" s="635">
        <f>IF(L102="węgiel",'Mieszkalne - baza'!M102*'Założenia,wskaźniki, listy'!$B$4,IF(L102="gaz",'Mieszkalne - baza'!M102*'Założenia,wskaźniki, listy'!$B$5,IF(L102="drewno",'Mieszkalne - baza'!M102*'Założenia,wskaźniki, listy'!$B$6,IF(L102="pelet",'Mieszkalne - baza'!M102*'Założenia,wskaźniki, listy'!$B$7,IF(L102="olej opałowy",'Mieszkalne - baza'!M102*'Założenia,wskaźniki, listy'!$B$8,IF(L102="sieć ciepłownicza",0,0))))))</f>
        <v>0</v>
      </c>
      <c r="S102" s="1085"/>
      <c r="T102" s="639">
        <f>IF(L102="węgiel",R102*'Założenia,wskaźniki, listy'!$C$44,IF(L102="gaz",R102*'Założenia,wskaźniki, listy'!$D$44,IF(L102="drewno",R102*'Założenia,wskaźniki, listy'!$E$44,IF(L102="pelet",R102*'Założenia,wskaźniki, listy'!$F$44,IF(L102="olej opałowy",R102*'Założenia,wskaźniki, listy'!$G$44,IF(L102="sieć ciepłownicza",0,IF(L102="prąd",0,0)))))))</f>
        <v>0</v>
      </c>
      <c r="U102" s="639">
        <f>IF(L102="węgiel",R102*'Założenia,wskaźniki, listy'!$C$45,IF(L102="gaz",R102*'Założenia,wskaźniki, listy'!$D$45,IF(L102="drewno",R102*'Założenia,wskaźniki, listy'!$E$45,IF(L102="pelet",R102*'Założenia,wskaźniki, listy'!$F$45,IF(L102="olej opałowy",R102*'Założenia,wskaźniki, listy'!$G$45,IF(L102="sieć ciepłownicza",0,IF(L102="prąd",0,0)))))))</f>
        <v>0</v>
      </c>
      <c r="V102" s="639">
        <f>IF(L102="węgiel",R102*'Założenia,wskaźniki, listy'!$C$46,IF(L102="gaz",R102*'Założenia,wskaźniki, listy'!$D$46,IF(L102="drewno",R102*'Założenia,wskaźniki, listy'!$E$46,IF(L102="pelet",R102*'Założenia,wskaźniki, listy'!$F$46,IF(L102="olej opałowy",R102*'Założenia,wskaźniki, listy'!$G$46,IF(L102="sieć ciepłownicza",R102*'Założenia,wskaźniki, listy'!$H$46,IF(L102="prąd",R102*'Założenia,wskaźniki, listy'!$I$46,0)))))))</f>
        <v>0</v>
      </c>
      <c r="W102" s="639">
        <f>IF(L102="węgiel",R102*'Założenia,wskaźniki, listy'!$C$47,IF(L102="gaz",R102*'Założenia,wskaźniki, listy'!$D$47,IF(L102="drewno",R102*'Założenia,wskaźniki, listy'!$E$47,IF(L102="pelet",R102*'Założenia,wskaźniki, listy'!$F$47,IF(L102="olej opałowy",R102*'Założenia,wskaźniki, listy'!$G$47,IF(L102="sieć ciepłownicza",0,IF(L102="prąd",0,0)))))))</f>
        <v>0</v>
      </c>
      <c r="X102" s="639">
        <f>IF(L102="węgiel",R102*'Założenia,wskaźniki, listy'!$C$48, IF(L102="gaz",R102*'Założenia,wskaźniki, listy'!$D$48,IF(L102="drewno",R102*'Założenia,wskaźniki, listy'!$E$48,IF(L102="pelet",R102*'Założenia,wskaźniki, listy'!$F$48,IF(L102="olej opałowy",R102*'Założenia,wskaźniki, listy'!$G$48,IF(L102="sieć ciepłownicza",0,IF(L102="prąd",0,0)))))))</f>
        <v>0</v>
      </c>
      <c r="Y102" s="639">
        <f>IF(L102="węgiel",R102*'Założenia,wskaźniki, listy'!$C$49, IF(L102="gaz",R102*'Założenia,wskaźniki, listy'!$D$49, IF(L102="drewno",R102*'Założenia,wskaźniki, listy'!$E$49,IF(L102="pelet",R102*'Założenia,wskaźniki, listy'!$F$49,IF(L102="olej opałowy",R102*'Założenia,wskaźniki, listy'!$G$49,IF(L102="sieć ciepłownicza",0,IF(L102="prąd",0,0)))))))</f>
        <v>0</v>
      </c>
      <c r="Z102" s="639">
        <f>IF(L102="węgiel",R102*'Założenia,wskaźniki, listy'!$C$50,IF(L102="gaz",R102*'Założenia,wskaźniki, listy'!$D$50, IF(L102="drewno",R102*'Założenia,wskaźniki, listy'!$E$50,IF(L102="pelet",R102*'Założenia,wskaźniki, listy'!$F$50,IF(L102="pelet",R102*'Założenia,wskaźniki, listy'!$F$50,IF(L102="olej opałowy",R102*'Założenia,wskaźniki, listy'!$G$50,IF(L102="sieć ciepłownicza",0,IF(L102="prąd",0,0))))))))</f>
        <v>0</v>
      </c>
      <c r="AA102" s="639">
        <f>IF(N102="węgiel",Q102*'Założenia,wskaźniki, listy'!$C$44,IF(N102="gaz",Q102*'Założenia,wskaźniki, listy'!$D$44,IF(N102="drewno",Q102*'Założenia,wskaźniki, listy'!$E$44,IF(N102="pelet",Q102*'Założenia,wskaźniki, listy'!$G$44,IF(N102="olej opałowy",Q102*'Założenia,wskaźniki, listy'!$G$44,IF(N102="sieć ciepłownicza",0,IF(N102="prąd",0,0)))))))</f>
        <v>0</v>
      </c>
      <c r="AB102" s="639">
        <f>IF(N102="węgiel",Q102*'Założenia,wskaźniki, listy'!$C$45,IF(N102="gaz",Q102*'Założenia,wskaźniki, listy'!$D$45,IF(N102="drewno",Q102*'Założenia,wskaźniki, listy'!$E$45,IF(N102="pelet",Q102*'Założenia,wskaźniki, listy'!$G$45,IF(N102="olej opałowy",Q102*'Założenia,wskaźniki, listy'!$G$45,IF(N102="sieć ciepłownicza",0,IF(N102="prąd",0,0)))))))</f>
        <v>0</v>
      </c>
      <c r="AC102" s="639">
        <f>IF(N102="węgiel",Q102*'Założenia,wskaźniki, listy'!$C$46,IF(N102="gaz",Q102*'Założenia,wskaźniki, listy'!$D$46,IF(N102="drewno",Q102*'Założenia,wskaźniki, listy'!$E$46,IF(N102="pelet",Q102*'Założenia,wskaźniki, listy'!$G$46,IF(N102="olej opałowy",Q102*'Założenia,wskaźniki, listy'!$G$46,IF(N102="sieć ciepłownicza",0,IF(N102="prąd",0,0)))))))</f>
        <v>0</v>
      </c>
      <c r="AD102" s="639">
        <f>IF(N102="węgiel",Q102*'Założenia,wskaźniki, listy'!$C$47,IF(N102="gaz",Q102*'Założenia,wskaźniki, listy'!$D$47,IF(N102="drewno",Q102*'Założenia,wskaźniki, listy'!$E$47,IF(N102="pelet",Q102*'Założenia,wskaźniki, listy'!$G$47,IF(N102="olej opałowy",Q102*'Założenia,wskaźniki, listy'!$G$47,IF(N102="sieć ciepłownicza",0,IF(N102="prąd",0,0)))))))</f>
        <v>0</v>
      </c>
      <c r="AE102" s="639">
        <f>IF(N102="węgiel",Q102*'Założenia,wskaźniki, listy'!$C$48,IF(N102="gaz",Q102*'Założenia,wskaźniki, listy'!$D$48,IF(N102="drewno",Q102*'Założenia,wskaźniki, listy'!$E$48,IF(N102="pelet",Q102*'Założenia,wskaźniki, listy'!$G$48,IF(N102="olej opałowy",Q102*'Założenia,wskaźniki, listy'!$G$48,IF(N102="sieć ciepłownicza",0,IF(N102="prąd",0,0)))))))</f>
        <v>0</v>
      </c>
      <c r="AF102" s="639">
        <f>IF(N102="węgiel",Q102*'Założenia,wskaźniki, listy'!$C$49,IF(N102="gaz",Q102*'Założenia,wskaźniki, listy'!$D$49,IF(N102="drewno",Q102*'Założenia,wskaźniki, listy'!$E$49,IF(N102="pelet",Q102*'Założenia,wskaźniki, listy'!$G$49,IF(N102="olej opałowy",Q102*'Założenia,wskaźniki, listy'!$G$49,IF(N102="sieć ciepłownicza",0,IF(N102="prąd",0,0)))))))</f>
        <v>0</v>
      </c>
      <c r="AG102" s="639">
        <f>IF(N102="węgiel",Q102*'Założenia,wskaźniki, listy'!$C$50,IF(N102="gaz",Q102*'Założenia,wskaźniki, listy'!$D$50,IF(N102="drewno",Q102*'Założenia,wskaźniki, listy'!$E$50,IF(N102="pelet",Q102*'Założenia,wskaźniki, listy'!$G$50,IF(N102="olej opałowy",Q102*'Założenia,wskaźniki, listy'!$G$50,IF(N102="sieć ciepłownicza",0,IF(N102="prąd",0,0)))))))</f>
        <v>0</v>
      </c>
      <c r="AH102" s="640">
        <f>IF(L102="węgiel",(P102+R102)/2*'Założenia,wskaźniki, listy'!$C$4,IF(L102="gaz",(P102+R102)/2*'Założenia,wskaźniki, listy'!$C$5,IF(L102="drewno",(P102+R102)/2*'Założenia,wskaźniki, listy'!$C$6,IF(L102="pelet",(P102+R102)/2*'Założenia,wskaźniki, listy'!$C$7,IF(L102="olej opałowy",(P102+R102)/2*'Założenia,wskaźniki, listy'!$C$8,IF(L102="sieć ciepłownicza",(P102+R102)/2*'Założenia,wskaźniki, listy'!$C$9,IF(L102="sieć ciepłownicza",(P102+R102)/2*'Założenia,wskaźniki, listy'!$C$10,)))))))</f>
        <v>0</v>
      </c>
      <c r="AI102" s="640">
        <f>IF(N102="węgiel",Q102*'Założenia,wskaźniki, listy'!$C$4,IF(N102="gaz",Q102*'Założenia,wskaźniki, listy'!$C$5,IF(N102="drewno",Q102*'Założenia,wskaźniki, listy'!$C$6,IF(N102="pelet",Q102*'Założenia,wskaźniki, listy'!$C$7,IF(N102="olej opałowy",Q102*'Założenia,wskaźniki, listy'!$C$8,IF(N102="sieć ciepłownicza",Q102*'Założenia,wskaźniki, listy'!$C$9,IF(N102="sieć ciepłownicza",Q102*'Założenia,wskaźniki, listy'!$C$10,0)))))))</f>
        <v>0</v>
      </c>
      <c r="AJ102" s="640">
        <f>S102*'Założenia,wskaźniki, listy'!$B$64*1000</f>
        <v>0</v>
      </c>
      <c r="AK102" s="640">
        <f>(H102+I102)*'Założenia,wskaźniki, listy'!$D$64*12</f>
        <v>0</v>
      </c>
      <c r="AL102" s="640">
        <f>AK102*'Założenia,wskaźniki, listy'!$F$64</f>
        <v>0</v>
      </c>
      <c r="AM102" s="639">
        <f t="shared" ref="AM102" si="172">T102+AA102</f>
        <v>0</v>
      </c>
      <c r="AN102" s="639">
        <f t="shared" ref="AN102" si="173">U102+AB102</f>
        <v>0</v>
      </c>
      <c r="AO102" s="639">
        <f>V102+AC102+S102*'Założenia,wskaźniki, listy'!$J$46</f>
        <v>0</v>
      </c>
      <c r="AP102" s="639">
        <f t="shared" ref="AP102" si="174">W102+AD102</f>
        <v>0</v>
      </c>
      <c r="AQ102" s="639">
        <f t="shared" ref="AQ102" si="175">X102+AE102</f>
        <v>0</v>
      </c>
      <c r="AR102" s="639">
        <f t="shared" ref="AR102" si="176">Y102+AF102</f>
        <v>0</v>
      </c>
      <c r="AS102" s="639">
        <f t="shared" ref="AS102" si="177">Z102+AG102</f>
        <v>0</v>
      </c>
      <c r="AT102" s="647"/>
      <c r="AU102" s="647"/>
      <c r="AV102" s="624">
        <f t="shared" si="135"/>
        <v>0</v>
      </c>
      <c r="AW102" s="624" t="b">
        <f t="shared" si="136"/>
        <v>0</v>
      </c>
      <c r="AX102" s="624" t="b">
        <f t="shared" si="137"/>
        <v>0</v>
      </c>
      <c r="AY102" s="624" t="b">
        <f t="shared" si="138"/>
        <v>0</v>
      </c>
      <c r="AZ102" s="624" t="b">
        <f t="shared" si="139"/>
        <v>0</v>
      </c>
      <c r="BA102" s="624" t="b">
        <f t="shared" si="140"/>
        <v>0</v>
      </c>
      <c r="BB102" s="624" t="b">
        <f t="shared" si="141"/>
        <v>0</v>
      </c>
      <c r="BC102" s="624" t="b">
        <f t="shared" si="142"/>
        <v>0</v>
      </c>
      <c r="BD102" s="624" t="b">
        <f t="shared" si="143"/>
        <v>0</v>
      </c>
      <c r="BE102" s="624" t="b">
        <f t="shared" si="144"/>
        <v>0</v>
      </c>
      <c r="BF102" s="624" t="b">
        <f t="shared" si="145"/>
        <v>0</v>
      </c>
      <c r="BG102" s="624" t="b">
        <f t="shared" si="146"/>
        <v>0</v>
      </c>
      <c r="BH102" s="624" t="b">
        <f t="shared" si="147"/>
        <v>0</v>
      </c>
      <c r="BI102" s="624" t="b">
        <f t="shared" si="148"/>
        <v>0</v>
      </c>
      <c r="BJ102" s="624" t="b">
        <f t="shared" si="149"/>
        <v>0</v>
      </c>
      <c r="BK102" s="624" t="b">
        <f t="shared" si="150"/>
        <v>0</v>
      </c>
      <c r="BL102" s="624" t="b">
        <f t="shared" si="151"/>
        <v>0</v>
      </c>
      <c r="BM102" s="624" t="b">
        <f t="shared" si="152"/>
        <v>0</v>
      </c>
      <c r="BN102" s="624" t="b">
        <f t="shared" si="153"/>
        <v>0</v>
      </c>
      <c r="BO102" s="624" t="b">
        <f t="shared" si="154"/>
        <v>0</v>
      </c>
      <c r="BP102" s="624" t="b">
        <f t="shared" si="155"/>
        <v>0</v>
      </c>
      <c r="BQ102" s="624" t="b">
        <f t="shared" si="156"/>
        <v>0</v>
      </c>
    </row>
    <row r="103" spans="1:69">
      <c r="A103" s="1086">
        <v>50</v>
      </c>
      <c r="B103" s="872" t="s">
        <v>21</v>
      </c>
      <c r="C103" s="873" t="s">
        <v>634</v>
      </c>
      <c r="D103" s="645"/>
      <c r="E103" s="645">
        <v>2</v>
      </c>
      <c r="F103" s="644">
        <v>1992</v>
      </c>
      <c r="G103" s="644">
        <v>160</v>
      </c>
      <c r="H103" s="644"/>
      <c r="I103" s="635"/>
      <c r="J103" s="644">
        <f>IF(F103&lt;=1966,'Założenia,wskaźniki, listy'!$H$4,IF(F103&gt;1966,IF(F103&lt;=1985,'Założenia,wskaźniki, listy'!$H$5,IF(F103&gt;1985,IF(F103&lt;=1992,'Założenia,wskaźniki, listy'!$H$6,IF(F103&gt;1992,IF(F103&lt;=1996,'Założenia,wskaźniki, listy'!$H$7,IF(F103&gt;1996,IF(F103&lt;=2015,'Założenia,wskaźniki, listy'!$H$8)))))))))</f>
        <v>175</v>
      </c>
      <c r="K103" s="864" t="s">
        <v>33</v>
      </c>
      <c r="L103" s="644" t="s">
        <v>8</v>
      </c>
      <c r="M103" s="644">
        <v>2.5</v>
      </c>
      <c r="N103" s="644"/>
      <c r="O103" s="637">
        <f t="shared" si="134"/>
        <v>68.582499999999996</v>
      </c>
      <c r="P103" s="646">
        <f>IF(K103="kompletna",J103*G103*0.0036*'Założenia,wskaźniki, listy'!$P$9,IF(K103="częściowa",J103*G103*0.0036*'Założenia,wskaźniki, listy'!$P$10,IF(K103="brak",J103*G103*0.0036*'Założenia,wskaźniki, listy'!$P$11,0)))</f>
        <v>80.64</v>
      </c>
      <c r="Q103" s="638">
        <f>H103*'Założenia,wskaźniki, listy'!$L$15</f>
        <v>0</v>
      </c>
      <c r="R103" s="635">
        <f>IF(L103="węgiel",'Mieszkalne - baza'!M103*'Założenia,wskaźniki, listy'!$B$4,IF(L103="gaz",'Mieszkalne - baza'!M103*'Założenia,wskaźniki, listy'!$B$5,IF(L103="drewno",'Mieszkalne - baza'!M103*'Założenia,wskaźniki, listy'!$B$6,IF(L103="pelet",'Mieszkalne - baza'!M103*'Założenia,wskaźniki, listy'!$B$7,IF(L103="olej opałowy",'Mieszkalne - baza'!M103*'Założenia,wskaźniki, listy'!$B$8,IF(L103="sieć ciepłownicza",0,0))))))</f>
        <v>56.524999999999999</v>
      </c>
      <c r="S103" s="1084">
        <v>1.6919999999999999</v>
      </c>
      <c r="T103" s="639">
        <f>IF(L103="węgiel",R103*'Założenia,wskaźniki, listy'!$C$44,IF(L103="gaz",R103*'Założenia,wskaźniki, listy'!$D$44,IF(L103="drewno",R103*'Założenia,wskaźniki, listy'!$E$44,IF(L103="pelet",R103*'Założenia,wskaźniki, listy'!$F$44,IF(L103="olej opałowy",R103*'Założenia,wskaźniki, listy'!$G$44,IF(L103="sieć ciepłownicza",0,IF(L103="prąd",0,0)))))))</f>
        <v>1.2718124999999999E-2</v>
      </c>
      <c r="U103" s="639">
        <f>IF(L103="węgiel",R103*'Założenia,wskaźniki, listy'!$C$45,IF(L103="gaz",R103*'Założenia,wskaźniki, listy'!$D$45,IF(L103="drewno",R103*'Założenia,wskaźniki, listy'!$E$45,IF(L103="pelet",R103*'Założenia,wskaźniki, listy'!$F$45,IF(L103="olej opałowy",R103*'Założenia,wskaźniki, listy'!$G$45,IF(L103="sieć ciepłownicza",0,IF(L103="prąd",0,0)))))))</f>
        <v>1.1361525000000001E-2</v>
      </c>
      <c r="V103" s="639">
        <f>IF(L103="węgiel",R103*'Założenia,wskaźniki, listy'!$C$46,IF(L103="gaz",R103*'Założenia,wskaźniki, listy'!$D$46,IF(L103="drewno",R103*'Założenia,wskaźniki, listy'!$E$46,IF(L103="pelet",R103*'Założenia,wskaźniki, listy'!$F$46,IF(L103="olej opałowy",R103*'Założenia,wskaźniki, listy'!$G$46,IF(L103="sieć ciepłownicza",R103*'Założenia,wskaźniki, listy'!$H$46,IF(L103="prąd",R103*'Założenia,wskaźniki, listy'!$I$46,0)))))))</f>
        <v>5.2986534999999995</v>
      </c>
      <c r="W103" s="639">
        <f>IF(L103="węgiel",R103*'Założenia,wskaźniki, listy'!$C$47,IF(L103="gaz",R103*'Założenia,wskaźniki, listy'!$D$47,IF(L103="drewno",R103*'Założenia,wskaźniki, listy'!$E$47,IF(L103="pelet",R103*'Założenia,wskaźniki, listy'!$F$47,IF(L103="olej opałowy",R103*'Założenia,wskaźniki, listy'!$G$47,IF(L103="sieć ciepłownicza",0,IF(L103="prąd",0,0)))))))</f>
        <v>1.526175E-5</v>
      </c>
      <c r="X103" s="639">
        <f>IF(L103="węgiel",R103*'Założenia,wskaźniki, listy'!$C$48, IF(L103="gaz",R103*'Założenia,wskaźniki, listy'!$D$48,IF(L103="drewno",R103*'Założenia,wskaźniki, listy'!$E$48,IF(L103="pelet",R103*'Założenia,wskaźniki, listy'!$F$48,IF(L103="olej opałowy",R103*'Założenia,wskaźniki, listy'!$G$48,IF(L103="sieć ciepłownicza",0,IF(L103="prąd",0,0)))))))</f>
        <v>5.0872499999999994E-2</v>
      </c>
      <c r="Y103" s="639">
        <f>IF(L103="węgiel",R103*'Założenia,wskaźniki, listy'!$C$49, IF(L103="gaz",R103*'Założenia,wskaźniki, listy'!$D$49, IF(L103="drewno",R103*'Założenia,wskaźniki, listy'!$E$49,IF(L103="pelet",R103*'Założenia,wskaźniki, listy'!$F$49,IF(L103="olej opałowy",R103*'Założenia,wskaźniki, listy'!$G$49,IF(L103="sieć ciepłownicza",0,IF(L103="prąd",0,0)))))))</f>
        <v>8.93095E-3</v>
      </c>
      <c r="Z103" s="639">
        <f>IF(L103="węgiel",R103*'Założenia,wskaźniki, listy'!$C$50,IF(L103="gaz",R103*'Założenia,wskaźniki, listy'!$D$50, IF(L103="drewno",R103*'Założenia,wskaźniki, listy'!$E$50,IF(L103="pelet",R103*'Założenia,wskaźniki, listy'!$F$50,IF(L103="pelet",R103*'Założenia,wskaźniki, listy'!$F$50,IF(L103="olej opałowy",R103*'Założenia,wskaźniki, listy'!$G$50,IF(L103="sieć ciepłownicza",0,IF(L103="prąd",0,0))))))))</f>
        <v>0.11370697362539113</v>
      </c>
      <c r="AA103" s="639">
        <f>IF(N103="węgiel",Q103*'Założenia,wskaźniki, listy'!$C$44,IF(N103="gaz",Q103*'Założenia,wskaźniki, listy'!$D$44,IF(N103="drewno",Q103*'Założenia,wskaźniki, listy'!$E$44,IF(N103="pelet",Q103*'Założenia,wskaźniki, listy'!$G$44,IF(N103="olej opałowy",Q103*'Założenia,wskaźniki, listy'!$G$44,IF(N103="sieć ciepłownicza",0,IF(N103="prąd",0,0)))))))</f>
        <v>0</v>
      </c>
      <c r="AB103" s="639">
        <f>IF(N103="węgiel",Q103*'Założenia,wskaźniki, listy'!$C$45,IF(N103="gaz",Q103*'Założenia,wskaźniki, listy'!$D$45,IF(N103="drewno",Q103*'Założenia,wskaźniki, listy'!$E$45,IF(N103="pelet",Q103*'Założenia,wskaźniki, listy'!$G$45,IF(N103="olej opałowy",Q103*'Założenia,wskaźniki, listy'!$G$45,IF(N103="sieć ciepłownicza",0,IF(N103="prąd",0,0)))))))</f>
        <v>0</v>
      </c>
      <c r="AC103" s="639">
        <f>IF(N103="węgiel",Q103*'Założenia,wskaźniki, listy'!$C$46,IF(N103="gaz",Q103*'Założenia,wskaźniki, listy'!$D$46,IF(N103="drewno",Q103*'Założenia,wskaźniki, listy'!$E$46,IF(N103="pelet",Q103*'Założenia,wskaźniki, listy'!$G$46,IF(N103="olej opałowy",Q103*'Założenia,wskaźniki, listy'!$G$46,IF(N103="sieć ciepłownicza",0,IF(N103="prąd",0,0)))))))</f>
        <v>0</v>
      </c>
      <c r="AD103" s="639">
        <f>IF(N103="węgiel",Q103*'Założenia,wskaźniki, listy'!$C$47,IF(N103="gaz",Q103*'Założenia,wskaźniki, listy'!$D$47,IF(N103="drewno",Q103*'Założenia,wskaźniki, listy'!$E$47,IF(N103="pelet",Q103*'Założenia,wskaźniki, listy'!$G$47,IF(N103="olej opałowy",Q103*'Założenia,wskaźniki, listy'!$G$47,IF(N103="sieć ciepłownicza",0,IF(N103="prąd",0,0)))))))</f>
        <v>0</v>
      </c>
      <c r="AE103" s="639">
        <f>IF(N103="węgiel",Q103*'Założenia,wskaźniki, listy'!$C$48,IF(N103="gaz",Q103*'Założenia,wskaźniki, listy'!$D$48,IF(N103="drewno",Q103*'Założenia,wskaźniki, listy'!$E$48,IF(N103="pelet",Q103*'Założenia,wskaźniki, listy'!$G$48,IF(N103="olej opałowy",Q103*'Założenia,wskaźniki, listy'!$G$48,IF(N103="sieć ciepłownicza",0,IF(N103="prąd",0,0)))))))</f>
        <v>0</v>
      </c>
      <c r="AF103" s="639">
        <f>IF(N103="węgiel",Q103*'Założenia,wskaźniki, listy'!$C$49,IF(N103="gaz",Q103*'Założenia,wskaźniki, listy'!$D$49,IF(N103="drewno",Q103*'Założenia,wskaźniki, listy'!$E$49,IF(N103="pelet",Q103*'Założenia,wskaźniki, listy'!$G$49,IF(N103="olej opałowy",Q103*'Założenia,wskaźniki, listy'!$G$49,IF(N103="sieć ciepłownicza",0,IF(N103="prąd",0,0)))))))</f>
        <v>0</v>
      </c>
      <c r="AG103" s="639">
        <f>IF(N103="węgiel",Q103*'Założenia,wskaźniki, listy'!$C$50,IF(N103="gaz",Q103*'Założenia,wskaźniki, listy'!$D$50,IF(N103="drewno",Q103*'Założenia,wskaźniki, listy'!$E$50,IF(N103="pelet",Q103*'Założenia,wskaźniki, listy'!$G$50,IF(N103="olej opałowy",Q103*'Założenia,wskaźniki, listy'!$G$50,IF(N103="sieć ciepłownicza",0,IF(N103="prąd",0,0)))))))</f>
        <v>0</v>
      </c>
      <c r="AH103" s="640">
        <f>IF(L103="węgiel",(P103+R103)/2*'Założenia,wskaźniki, listy'!$C$4,IF(L103="gaz",(P103+R103)/2*'Założenia,wskaźniki, listy'!$C$5,IF(L103="drewno",(P103+R103)/2*'Założenia,wskaźniki, listy'!$C$6,IF(L103="pelet",(P103+R103)/2*'Założenia,wskaźniki, listy'!$C$7,IF(L103="olej opałowy",(P103+R103)/2*'Założenia,wskaźniki, listy'!$C$8,IF(L103="sieć ciepłownicza",(P103+R103)/2*'Założenia,wskaźniki, listy'!$C$9,IF(L103="sieć ciepłownicza",(P103+R103)/2*'Założenia,wskaźniki, listy'!$C$10,)))))))</f>
        <v>2811.8824999999997</v>
      </c>
      <c r="AI103" s="640">
        <f>IF(N103="węgiel",Q103*'Założenia,wskaźniki, listy'!$C$4,IF(N103="gaz",Q103*'Założenia,wskaźniki, listy'!$C$5,IF(N103="drewno",Q103*'Założenia,wskaźniki, listy'!$C$6,IF(N103="pelet",Q103*'Założenia,wskaźniki, listy'!$C$7,IF(N103="olej opałowy",Q103*'Założenia,wskaźniki, listy'!$C$8,IF(N103="sieć ciepłownicza",Q103*'Założenia,wskaźniki, listy'!$C$9,IF(N103="sieć ciepłownicza",Q103*'Założenia,wskaźniki, listy'!$C$10,0)))))))</f>
        <v>0</v>
      </c>
      <c r="AJ103" s="640">
        <f>S103*'Założenia,wskaźniki, listy'!$B$64*1000</f>
        <v>1201.32</v>
      </c>
      <c r="AK103" s="640">
        <f>(H103+I103)*'Założenia,wskaźniki, listy'!$D$64*12</f>
        <v>0</v>
      </c>
      <c r="AL103" s="640">
        <f>AK103*'Założenia,wskaźniki, listy'!$F$64</f>
        <v>0</v>
      </c>
      <c r="AM103" s="639">
        <f t="shared" si="128"/>
        <v>1.2718124999999999E-2</v>
      </c>
      <c r="AN103" s="639">
        <f t="shared" si="129"/>
        <v>1.1361525000000001E-2</v>
      </c>
      <c r="AO103" s="639">
        <f>V103+AC103+S103*'Założenia,wskaźniki, listy'!$J$46</f>
        <v>6.7055514999999994</v>
      </c>
      <c r="AP103" s="639">
        <f t="shared" si="130"/>
        <v>1.526175E-5</v>
      </c>
      <c r="AQ103" s="639">
        <f t="shared" si="131"/>
        <v>5.0872499999999994E-2</v>
      </c>
      <c r="AR103" s="639">
        <f t="shared" si="132"/>
        <v>8.93095E-3</v>
      </c>
      <c r="AS103" s="639">
        <f t="shared" si="133"/>
        <v>0.11370697362539113</v>
      </c>
      <c r="AT103" s="647"/>
      <c r="AU103" s="647"/>
      <c r="AV103" s="624" t="b">
        <f t="shared" si="135"/>
        <v>0</v>
      </c>
      <c r="AW103" s="624">
        <f t="shared" si="136"/>
        <v>0</v>
      </c>
      <c r="AX103" s="624" t="b">
        <f t="shared" si="137"/>
        <v>0</v>
      </c>
      <c r="AY103" s="624">
        <f t="shared" si="138"/>
        <v>0</v>
      </c>
      <c r="AZ103" s="624">
        <f t="shared" si="139"/>
        <v>160</v>
      </c>
      <c r="BA103" s="624">
        <f t="shared" si="140"/>
        <v>80</v>
      </c>
      <c r="BB103" s="624" t="b">
        <f t="shared" si="141"/>
        <v>0</v>
      </c>
      <c r="BC103" s="624">
        <f t="shared" si="142"/>
        <v>0</v>
      </c>
      <c r="BD103" s="624" t="b">
        <f t="shared" si="143"/>
        <v>0</v>
      </c>
      <c r="BE103" s="624">
        <f t="shared" si="144"/>
        <v>0</v>
      </c>
      <c r="BF103" s="624">
        <f t="shared" si="145"/>
        <v>56.524999999999999</v>
      </c>
      <c r="BG103" s="624" t="b">
        <f t="shared" si="146"/>
        <v>0</v>
      </c>
      <c r="BH103" s="624" t="b">
        <f t="shared" si="147"/>
        <v>0</v>
      </c>
      <c r="BI103" s="624" t="b">
        <f t="shared" si="148"/>
        <v>0</v>
      </c>
      <c r="BJ103" s="624" t="b">
        <f t="shared" si="149"/>
        <v>0</v>
      </c>
      <c r="BK103" s="624" t="b">
        <f t="shared" si="150"/>
        <v>0</v>
      </c>
      <c r="BL103" s="624" t="b">
        <f t="shared" si="151"/>
        <v>0</v>
      </c>
      <c r="BM103" s="624" t="b">
        <f t="shared" si="152"/>
        <v>0</v>
      </c>
      <c r="BN103" s="624" t="b">
        <f t="shared" si="153"/>
        <v>0</v>
      </c>
      <c r="BO103" s="624" t="b">
        <f t="shared" si="154"/>
        <v>0</v>
      </c>
      <c r="BP103" s="624" t="b">
        <f t="shared" si="155"/>
        <v>0</v>
      </c>
      <c r="BQ103" s="624" t="b">
        <f t="shared" si="156"/>
        <v>0</v>
      </c>
    </row>
    <row r="104" spans="1:69">
      <c r="A104" s="1086"/>
      <c r="B104" s="872"/>
      <c r="C104" s="872"/>
      <c r="D104" s="645"/>
      <c r="E104" s="645"/>
      <c r="F104" s="644"/>
      <c r="G104" s="644"/>
      <c r="H104" s="644"/>
      <c r="I104" s="635"/>
      <c r="J104" s="644">
        <f>IF(F104&lt;=1966,'Założenia,wskaźniki, listy'!$H$4,IF(F104&gt;1966,IF(F104&lt;=1985,'Założenia,wskaźniki, listy'!$H$5,IF(F104&gt;1985,IF(F104&lt;=1992,'Założenia,wskaźniki, listy'!$H$6,IF(F104&gt;1992,IF(F104&lt;=1996,'Założenia,wskaźniki, listy'!$H$7,IF(F104&gt;1996,IF(F104&lt;=2015,'Założenia,wskaźniki, listy'!$H$8)))))))))</f>
        <v>290</v>
      </c>
      <c r="K104" s="864"/>
      <c r="L104" s="644" t="s">
        <v>79</v>
      </c>
      <c r="M104" s="644">
        <v>1.5</v>
      </c>
      <c r="N104" s="644"/>
      <c r="O104" s="637">
        <f t="shared" ref="O104" si="178">IF(P104&gt;0,(Q104+R104+P104)/2,Q104+R104)</f>
        <v>22.5</v>
      </c>
      <c r="P104" s="646">
        <f>IF(K104="kompletna",J104*G104*0.0036*'Założenia,wskaźniki, listy'!$P$9,IF(K104="częściowa",J104*G104*0.0036*'Założenia,wskaźniki, listy'!$P$10,IF(K104="brak",J104*G104*0.0036*'Założenia,wskaźniki, listy'!$P$11,0)))</f>
        <v>0</v>
      </c>
      <c r="Q104" s="638">
        <f>H104*'Założenia,wskaźniki, listy'!$L$15</f>
        <v>0</v>
      </c>
      <c r="R104" s="635">
        <f>IF(L104="węgiel",'Mieszkalne - baza'!M104*'Założenia,wskaźniki, listy'!$B$4,IF(L104="gaz",'Mieszkalne - baza'!M104*'Założenia,wskaźniki, listy'!$B$5,IF(L104="drewno",'Mieszkalne - baza'!M104*'Założenia,wskaźniki, listy'!$B$6,IF(L104="pelet",'Mieszkalne - baza'!M104*'Założenia,wskaźniki, listy'!$B$7,IF(L104="olej opałowy",'Mieszkalne - baza'!M104*'Założenia,wskaźniki, listy'!$B$8,IF(L104="sieć ciepłownicza",0,0))))))</f>
        <v>22.5</v>
      </c>
      <c r="S104" s="1085"/>
      <c r="T104" s="639">
        <f>IF(L104="węgiel",R104*'Założenia,wskaźniki, listy'!$C$44,IF(L104="gaz",R104*'Założenia,wskaźniki, listy'!$D$44,IF(L104="drewno",R104*'Założenia,wskaźniki, listy'!$E$44,IF(L104="pelet",R104*'Założenia,wskaźniki, listy'!$F$44,IF(L104="olej opałowy",R104*'Założenia,wskaźniki, listy'!$G$44,IF(L104="sieć ciepłownicza",0,IF(L104="prąd",0,0)))))))</f>
        <v>1.0800000000000001E-2</v>
      </c>
      <c r="U104" s="639">
        <f>IF(L104="węgiel",R104*'Założenia,wskaźniki, listy'!$C$45,IF(L104="gaz",R104*'Założenia,wskaźniki, listy'!$D$45,IF(L104="drewno",R104*'Założenia,wskaźniki, listy'!$E$45,IF(L104="pelet",R104*'Założenia,wskaźniki, listy'!$F$45,IF(L104="olej opałowy",R104*'Założenia,wskaźniki, listy'!$G$45,IF(L104="sieć ciepłownicza",0,IF(L104="prąd",0,0)))))))</f>
        <v>1.0574999999999999E-2</v>
      </c>
      <c r="V104" s="639">
        <f>IF(L104="węgiel",R104*'Założenia,wskaźniki, listy'!$C$46,IF(L104="gaz",R104*'Założenia,wskaźniki, listy'!$D$46,IF(L104="drewno",R104*'Założenia,wskaźniki, listy'!$E$46,IF(L104="pelet",R104*'Założenia,wskaźniki, listy'!$F$46,IF(L104="olej opałowy",R104*'Założenia,wskaźniki, listy'!$G$46,IF(L104="sieć ciepłownicza",R104*'Założenia,wskaźniki, listy'!$H$46,IF(L104="prąd",R104*'Założenia,wskaźniki, listy'!$I$46,0)))))))</f>
        <v>0</v>
      </c>
      <c r="W104" s="639">
        <f>IF(L104="węgiel",R104*'Założenia,wskaźniki, listy'!$C$47,IF(L104="gaz",R104*'Założenia,wskaźniki, listy'!$D$47,IF(L104="drewno",R104*'Założenia,wskaźniki, listy'!$E$47,IF(L104="pelet",R104*'Założenia,wskaźniki, listy'!$F$47,IF(L104="olej opałowy",R104*'Założenia,wskaźniki, listy'!$G$47,IF(L104="sieć ciepłownicza",0,IF(L104="prąd",0,0)))))))</f>
        <v>2.7225000000000002E-6</v>
      </c>
      <c r="X104" s="639">
        <f>IF(L104="węgiel",R104*'Założenia,wskaźniki, listy'!$C$48, IF(L104="gaz",R104*'Założenia,wskaźniki, listy'!$D$48,IF(L104="drewno",R104*'Założenia,wskaźniki, listy'!$E$48,IF(L104="pelet",R104*'Założenia,wskaźniki, listy'!$F$48,IF(L104="olej opałowy",R104*'Założenia,wskaźniki, listy'!$G$48,IF(L104="sieć ciepłownicza",0,IF(L104="prąd",0,0)))))))</f>
        <v>2.475E-4</v>
      </c>
      <c r="Y104" s="639">
        <f>IF(L104="węgiel",R104*'Założenia,wskaźniki, listy'!$C$49, IF(L104="gaz",R104*'Założenia,wskaźniki, listy'!$D$49, IF(L104="drewno",R104*'Założenia,wskaźniki, listy'!$E$49,IF(L104="pelet",R104*'Założenia,wskaźniki, listy'!$F$49,IF(L104="olej opałowy",R104*'Założenia,wskaźniki, listy'!$G$49,IF(L104="sieć ciepłownicza",0,IF(L104="prąd",0,0)))))))</f>
        <v>1.8000000000000002E-3</v>
      </c>
      <c r="Z104" s="639">
        <f>IF(L104="węgiel",R104*'Założenia,wskaźniki, listy'!$C$50,IF(L104="gaz",R104*'Założenia,wskaźniki, listy'!$D$50, IF(L104="drewno",R104*'Założenia,wskaźniki, listy'!$E$50,IF(L104="pelet",R104*'Założenia,wskaźniki, listy'!$F$50,IF(L104="pelet",R104*'Założenia,wskaźniki, listy'!$F$50,IF(L104="olej opałowy",R104*'Założenia,wskaźniki, listy'!$G$50,IF(L104="sieć ciepłownicza",0,IF(L104="prąd",0,0))))))))</f>
        <v>4.0365000000000002E-3</v>
      </c>
      <c r="AA104" s="639">
        <f>IF(N104="węgiel",Q104*'Założenia,wskaźniki, listy'!$C$44,IF(N104="gaz",Q104*'Założenia,wskaźniki, listy'!$D$44,IF(N104="drewno",Q104*'Założenia,wskaźniki, listy'!$E$44,IF(N104="pelet",Q104*'Założenia,wskaźniki, listy'!$G$44,IF(N104="olej opałowy",Q104*'Założenia,wskaźniki, listy'!$G$44,IF(N104="sieć ciepłownicza",0,IF(N104="prąd",0,0)))))))</f>
        <v>0</v>
      </c>
      <c r="AB104" s="639">
        <f>IF(N104="węgiel",Q104*'Założenia,wskaźniki, listy'!$C$45,IF(N104="gaz",Q104*'Założenia,wskaźniki, listy'!$D$45,IF(N104="drewno",Q104*'Założenia,wskaźniki, listy'!$E$45,IF(N104="pelet",Q104*'Założenia,wskaźniki, listy'!$G$45,IF(N104="olej opałowy",Q104*'Założenia,wskaźniki, listy'!$G$45,IF(N104="sieć ciepłownicza",0,IF(N104="prąd",0,0)))))))</f>
        <v>0</v>
      </c>
      <c r="AC104" s="639">
        <f>IF(N104="węgiel",Q104*'Założenia,wskaźniki, listy'!$C$46,IF(N104="gaz",Q104*'Założenia,wskaźniki, listy'!$D$46,IF(N104="drewno",Q104*'Założenia,wskaźniki, listy'!$E$46,IF(N104="pelet",Q104*'Założenia,wskaźniki, listy'!$G$46,IF(N104="olej opałowy",Q104*'Założenia,wskaźniki, listy'!$G$46,IF(N104="sieć ciepłownicza",0,IF(N104="prąd",0,0)))))))</f>
        <v>0</v>
      </c>
      <c r="AD104" s="639">
        <f>IF(N104="węgiel",Q104*'Założenia,wskaźniki, listy'!$C$47,IF(N104="gaz",Q104*'Założenia,wskaźniki, listy'!$D$47,IF(N104="drewno",Q104*'Założenia,wskaźniki, listy'!$E$47,IF(N104="pelet",Q104*'Założenia,wskaźniki, listy'!$G$47,IF(N104="olej opałowy",Q104*'Założenia,wskaźniki, listy'!$G$47,IF(N104="sieć ciepłownicza",0,IF(N104="prąd",0,0)))))))</f>
        <v>0</v>
      </c>
      <c r="AE104" s="639">
        <f>IF(N104="węgiel",Q104*'Założenia,wskaźniki, listy'!$C$48,IF(N104="gaz",Q104*'Założenia,wskaźniki, listy'!$D$48,IF(N104="drewno",Q104*'Założenia,wskaźniki, listy'!$E$48,IF(N104="pelet",Q104*'Założenia,wskaźniki, listy'!$G$48,IF(N104="olej opałowy",Q104*'Założenia,wskaźniki, listy'!$G$48,IF(N104="sieć ciepłownicza",0,IF(N104="prąd",0,0)))))))</f>
        <v>0</v>
      </c>
      <c r="AF104" s="639">
        <f>IF(N104="węgiel",Q104*'Założenia,wskaźniki, listy'!$C$49,IF(N104="gaz",Q104*'Założenia,wskaźniki, listy'!$D$49,IF(N104="drewno",Q104*'Założenia,wskaźniki, listy'!$E$49,IF(N104="pelet",Q104*'Założenia,wskaźniki, listy'!$G$49,IF(N104="olej opałowy",Q104*'Założenia,wskaźniki, listy'!$G$49,IF(N104="sieć ciepłownicza",0,IF(N104="prąd",0,0)))))))</f>
        <v>0</v>
      </c>
      <c r="AG104" s="639">
        <f>IF(N104="węgiel",Q104*'Założenia,wskaźniki, listy'!$C$50,IF(N104="gaz",Q104*'Założenia,wskaźniki, listy'!$D$50,IF(N104="drewno",Q104*'Założenia,wskaźniki, listy'!$E$50,IF(N104="pelet",Q104*'Założenia,wskaźniki, listy'!$G$50,IF(N104="olej opałowy",Q104*'Założenia,wskaźniki, listy'!$G$50,IF(N104="sieć ciepłownicza",0,IF(N104="prąd",0,0)))))))</f>
        <v>0</v>
      </c>
      <c r="AH104" s="640">
        <f>IF(L104="węgiel",(P104+R104)/2*'Założenia,wskaźniki, listy'!$C$4,IF(L104="gaz",(P104+R104)/2*'Założenia,wskaźniki, listy'!$C$5,IF(L104="drewno",(P104+R104)/2*'Założenia,wskaźniki, listy'!$C$6,IF(L104="pelet",(P104+R104)/2*'Założenia,wskaźniki, listy'!$C$7,IF(L104="olej opałowy",(P104+R104)/2*'Założenia,wskaźniki, listy'!$C$8,IF(L104="sieć ciepłownicza",(P104+R104)/2*'Założenia,wskaźniki, listy'!$C$9,IF(L104="sieć ciepłownicza",(P104+R104)/2*'Założenia,wskaźniki, listy'!$C$10,)))))))</f>
        <v>427.5</v>
      </c>
      <c r="AI104" s="640">
        <f>IF(N104="węgiel",Q104*'Założenia,wskaźniki, listy'!$C$4,IF(N104="gaz",Q104*'Założenia,wskaźniki, listy'!$C$5,IF(N104="drewno",Q104*'Założenia,wskaźniki, listy'!$C$6,IF(N104="pelet",Q104*'Założenia,wskaźniki, listy'!$C$7,IF(N104="olej opałowy",Q104*'Założenia,wskaźniki, listy'!$C$8,IF(N104="sieć ciepłownicza",Q104*'Założenia,wskaźniki, listy'!$C$9,IF(N104="sieć ciepłownicza",Q104*'Założenia,wskaźniki, listy'!$C$10,0)))))))</f>
        <v>0</v>
      </c>
      <c r="AJ104" s="640">
        <f>S104*'Założenia,wskaźniki, listy'!$B$64*1000</f>
        <v>0</v>
      </c>
      <c r="AK104" s="640">
        <f>(H104+I104)*'Założenia,wskaźniki, listy'!$D$64*12</f>
        <v>0</v>
      </c>
      <c r="AL104" s="640">
        <f>AK104*'Założenia,wskaźniki, listy'!$F$64</f>
        <v>0</v>
      </c>
      <c r="AM104" s="639">
        <f t="shared" ref="AM104" si="179">T104+AA104</f>
        <v>1.0800000000000001E-2</v>
      </c>
      <c r="AN104" s="639">
        <f t="shared" ref="AN104" si="180">U104+AB104</f>
        <v>1.0574999999999999E-2</v>
      </c>
      <c r="AO104" s="639">
        <f>V104+AC104+S104*'Założenia,wskaźniki, listy'!$J$46</f>
        <v>0</v>
      </c>
      <c r="AP104" s="639">
        <f t="shared" ref="AP104" si="181">W104+AD104</f>
        <v>2.7225000000000002E-6</v>
      </c>
      <c r="AQ104" s="639">
        <f t="shared" ref="AQ104" si="182">X104+AE104</f>
        <v>2.475E-4</v>
      </c>
      <c r="AR104" s="639">
        <f t="shared" ref="AR104" si="183">Y104+AF104</f>
        <v>1.8000000000000002E-3</v>
      </c>
      <c r="AS104" s="639">
        <f t="shared" ref="AS104" si="184">Z104+AG104</f>
        <v>4.0365000000000002E-3</v>
      </c>
      <c r="AT104" s="647"/>
      <c r="AU104" s="647"/>
      <c r="AV104" s="624">
        <f t="shared" si="135"/>
        <v>0</v>
      </c>
      <c r="AW104" s="624" t="b">
        <f t="shared" si="136"/>
        <v>0</v>
      </c>
      <c r="AX104" s="624" t="b">
        <f t="shared" si="137"/>
        <v>0</v>
      </c>
      <c r="AY104" s="624" t="b">
        <f t="shared" si="138"/>
        <v>0</v>
      </c>
      <c r="AZ104" s="624" t="b">
        <f t="shared" si="139"/>
        <v>0</v>
      </c>
      <c r="BA104" s="624" t="b">
        <f t="shared" si="140"/>
        <v>0</v>
      </c>
      <c r="BB104" s="624" t="b">
        <f t="shared" si="141"/>
        <v>0</v>
      </c>
      <c r="BC104" s="624" t="b">
        <f t="shared" si="142"/>
        <v>0</v>
      </c>
      <c r="BD104" s="624" t="b">
        <f t="shared" si="143"/>
        <v>0</v>
      </c>
      <c r="BE104" s="624" t="b">
        <f t="shared" si="144"/>
        <v>0</v>
      </c>
      <c r="BF104" s="624" t="b">
        <f t="shared" si="145"/>
        <v>0</v>
      </c>
      <c r="BG104" s="624" t="b">
        <f t="shared" si="146"/>
        <v>0</v>
      </c>
      <c r="BH104" s="624">
        <f t="shared" si="147"/>
        <v>22.5</v>
      </c>
      <c r="BI104" s="624" t="b">
        <f t="shared" si="148"/>
        <v>0</v>
      </c>
      <c r="BJ104" s="624" t="b">
        <f t="shared" si="149"/>
        <v>0</v>
      </c>
      <c r="BK104" s="624" t="b">
        <f t="shared" si="150"/>
        <v>0</v>
      </c>
      <c r="BL104" s="624" t="b">
        <f t="shared" si="151"/>
        <v>0</v>
      </c>
      <c r="BM104" s="624" t="b">
        <f t="shared" si="152"/>
        <v>0</v>
      </c>
      <c r="BN104" s="624" t="b">
        <f t="shared" si="153"/>
        <v>0</v>
      </c>
      <c r="BO104" s="624" t="b">
        <f t="shared" si="154"/>
        <v>0</v>
      </c>
      <c r="BP104" s="624" t="b">
        <f t="shared" si="155"/>
        <v>0</v>
      </c>
      <c r="BQ104" s="624" t="b">
        <f t="shared" si="156"/>
        <v>0</v>
      </c>
    </row>
    <row r="105" spans="1:69">
      <c r="A105" s="1086">
        <v>51</v>
      </c>
      <c r="B105" s="872" t="s">
        <v>21</v>
      </c>
      <c r="C105" s="873" t="s">
        <v>634</v>
      </c>
      <c r="D105" s="645"/>
      <c r="E105" s="645">
        <v>6</v>
      </c>
      <c r="F105" s="644">
        <v>1991</v>
      </c>
      <c r="G105" s="635">
        <v>180</v>
      </c>
      <c r="H105" s="644"/>
      <c r="I105" s="635"/>
      <c r="J105" s="644">
        <f>IF(F105&lt;=1966,'Założenia,wskaźniki, listy'!$H$4,IF(F105&gt;1966,IF(F105&lt;=1985,'Założenia,wskaźniki, listy'!$H$5,IF(F105&gt;1985,IF(F105&lt;=1992,'Założenia,wskaźniki, listy'!$H$6,IF(F105&gt;1992,IF(F105&lt;=1996,'Założenia,wskaźniki, listy'!$H$7,IF(F105&gt;1996,IF(F105&lt;=2015,'Założenia,wskaźniki, listy'!$H$8)))))))))</f>
        <v>175</v>
      </c>
      <c r="K105" s="864" t="s">
        <v>31</v>
      </c>
      <c r="L105" s="644" t="s">
        <v>8</v>
      </c>
      <c r="M105" s="644">
        <v>5</v>
      </c>
      <c r="N105" s="644"/>
      <c r="O105" s="637">
        <f t="shared" si="134"/>
        <v>113.22499999999999</v>
      </c>
      <c r="P105" s="646">
        <f>IF(K105="kompletna",J105*G105*0.0036*'Założenia,wskaźniki, listy'!$P$9,IF(K105="częściowa",J105*G105*0.0036*'Założenia,wskaźniki, listy'!$P$10,IF(K105="brak",J105*G105*0.0036*'Założenia,wskaźniki, listy'!$P$11,0)))</f>
        <v>113.39999999999999</v>
      </c>
      <c r="Q105" s="638">
        <f>H105*'Założenia,wskaźniki, listy'!$L$15</f>
        <v>0</v>
      </c>
      <c r="R105" s="635">
        <f>IF(L105="węgiel",'Mieszkalne - baza'!M105*'Założenia,wskaźniki, listy'!$B$4,IF(L105="gaz",'Mieszkalne - baza'!M105*'Założenia,wskaźniki, listy'!$B$5,IF(L105="drewno",'Mieszkalne - baza'!M105*'Założenia,wskaźniki, listy'!$B$6,IF(L105="pelet",'Mieszkalne - baza'!M105*'Założenia,wskaźniki, listy'!$B$7,IF(L105="olej opałowy",'Mieszkalne - baza'!M105*'Założenia,wskaźniki, listy'!$B$8,IF(L105="sieć ciepłownicza",0,0))))))</f>
        <v>113.05</v>
      </c>
      <c r="S105" s="1084">
        <v>1.8048000000000002</v>
      </c>
      <c r="T105" s="639">
        <f>IF(L105="węgiel",R105*'Założenia,wskaźniki, listy'!$C$44,IF(L105="gaz",R105*'Założenia,wskaźniki, listy'!$D$44,IF(L105="drewno",R105*'Założenia,wskaźniki, listy'!$E$44,IF(L105="pelet",R105*'Założenia,wskaźniki, listy'!$F$44,IF(L105="olej opałowy",R105*'Założenia,wskaźniki, listy'!$G$44,IF(L105="sieć ciepłownicza",0,IF(L105="prąd",0,0)))))))</f>
        <v>2.5436249999999997E-2</v>
      </c>
      <c r="U105" s="639">
        <f>IF(L105="węgiel",R105*'Założenia,wskaźniki, listy'!$C$45,IF(L105="gaz",R105*'Założenia,wskaźniki, listy'!$D$45,IF(L105="drewno",R105*'Założenia,wskaźniki, listy'!$E$45,IF(L105="pelet",R105*'Założenia,wskaźniki, listy'!$F$45,IF(L105="olej opałowy",R105*'Założenia,wskaźniki, listy'!$G$45,IF(L105="sieć ciepłownicza",0,IF(L105="prąd",0,0)))))))</f>
        <v>2.2723050000000002E-2</v>
      </c>
      <c r="V105" s="639">
        <f>IF(L105="węgiel",R105*'Założenia,wskaźniki, listy'!$C$46,IF(L105="gaz",R105*'Założenia,wskaźniki, listy'!$D$46,IF(L105="drewno",R105*'Założenia,wskaźniki, listy'!$E$46,IF(L105="pelet",R105*'Założenia,wskaźniki, listy'!$F$46,IF(L105="olej opałowy",R105*'Założenia,wskaźniki, listy'!$G$46,IF(L105="sieć ciepłownicza",R105*'Założenia,wskaźniki, listy'!$H$46,IF(L105="prąd",R105*'Założenia,wskaźniki, listy'!$I$46,0)))))))</f>
        <v>10.597306999999999</v>
      </c>
      <c r="W105" s="639">
        <f>IF(L105="węgiel",R105*'Założenia,wskaźniki, listy'!$C$47,IF(L105="gaz",R105*'Założenia,wskaźniki, listy'!$D$47,IF(L105="drewno",R105*'Założenia,wskaźniki, listy'!$E$47,IF(L105="pelet",R105*'Założenia,wskaźniki, listy'!$F$47,IF(L105="olej opałowy",R105*'Założenia,wskaźniki, listy'!$G$47,IF(L105="sieć ciepłownicza",0,IF(L105="prąd",0,0)))))))</f>
        <v>3.05235E-5</v>
      </c>
      <c r="X105" s="639">
        <f>IF(L105="węgiel",R105*'Założenia,wskaźniki, listy'!$C$48, IF(L105="gaz",R105*'Założenia,wskaźniki, listy'!$D$48,IF(L105="drewno",R105*'Założenia,wskaźniki, listy'!$E$48,IF(L105="pelet",R105*'Założenia,wskaźniki, listy'!$F$48,IF(L105="olej opałowy",R105*'Założenia,wskaźniki, listy'!$G$48,IF(L105="sieć ciepłownicza",0,IF(L105="prąd",0,0)))))))</f>
        <v>0.10174499999999999</v>
      </c>
      <c r="Y105" s="639">
        <f>IF(L105="węgiel",R105*'Założenia,wskaźniki, listy'!$C$49, IF(L105="gaz",R105*'Założenia,wskaźniki, listy'!$D$49, IF(L105="drewno",R105*'Założenia,wskaźniki, listy'!$E$49,IF(L105="pelet",R105*'Założenia,wskaźniki, listy'!$F$49,IF(L105="olej opałowy",R105*'Założenia,wskaźniki, listy'!$G$49,IF(L105="sieć ciepłownicza",0,IF(L105="prąd",0,0)))))))</f>
        <v>1.78619E-2</v>
      </c>
      <c r="Z105" s="639">
        <f>IF(L105="węgiel",R105*'Założenia,wskaźniki, listy'!$C$50,IF(L105="gaz",R105*'Założenia,wskaźniki, listy'!$D$50, IF(L105="drewno",R105*'Założenia,wskaźniki, listy'!$E$50,IF(L105="pelet",R105*'Założenia,wskaźniki, listy'!$F$50,IF(L105="pelet",R105*'Założenia,wskaźniki, listy'!$F$50,IF(L105="olej opałowy",R105*'Założenia,wskaźniki, listy'!$G$50,IF(L105="sieć ciepłownicza",0,IF(L105="prąd",0,0))))))))</f>
        <v>0.22741394725078226</v>
      </c>
      <c r="AA105" s="639">
        <f>IF(N105="węgiel",Q105*'Założenia,wskaźniki, listy'!$C$44,IF(N105="gaz",Q105*'Założenia,wskaźniki, listy'!$D$44,IF(N105="drewno",Q105*'Założenia,wskaźniki, listy'!$E$44,IF(N105="pelet",Q105*'Założenia,wskaźniki, listy'!$G$44,IF(N105="olej opałowy",Q105*'Założenia,wskaźniki, listy'!$G$44,IF(N105="sieć ciepłownicza",0,IF(N105="prąd",0,0)))))))</f>
        <v>0</v>
      </c>
      <c r="AB105" s="639">
        <f>IF(N105="węgiel",Q105*'Założenia,wskaźniki, listy'!$C$45,IF(N105="gaz",Q105*'Założenia,wskaźniki, listy'!$D$45,IF(N105="drewno",Q105*'Założenia,wskaźniki, listy'!$E$45,IF(N105="pelet",Q105*'Założenia,wskaźniki, listy'!$G$45,IF(N105="olej opałowy",Q105*'Założenia,wskaźniki, listy'!$G$45,IF(N105="sieć ciepłownicza",0,IF(N105="prąd",0,0)))))))</f>
        <v>0</v>
      </c>
      <c r="AC105" s="639">
        <f>IF(N105="węgiel",Q105*'Założenia,wskaźniki, listy'!$C$46,IF(N105="gaz",Q105*'Założenia,wskaźniki, listy'!$D$46,IF(N105="drewno",Q105*'Założenia,wskaźniki, listy'!$E$46,IF(N105="pelet",Q105*'Założenia,wskaźniki, listy'!$G$46,IF(N105="olej opałowy",Q105*'Założenia,wskaźniki, listy'!$G$46,IF(N105="sieć ciepłownicza",0,IF(N105="prąd",0,0)))))))</f>
        <v>0</v>
      </c>
      <c r="AD105" s="639">
        <f>IF(N105="węgiel",Q105*'Założenia,wskaźniki, listy'!$C$47,IF(N105="gaz",Q105*'Założenia,wskaźniki, listy'!$D$47,IF(N105="drewno",Q105*'Założenia,wskaźniki, listy'!$E$47,IF(N105="pelet",Q105*'Założenia,wskaźniki, listy'!$G$47,IF(N105="olej opałowy",Q105*'Założenia,wskaźniki, listy'!$G$47,IF(N105="sieć ciepłownicza",0,IF(N105="prąd",0,0)))))))</f>
        <v>0</v>
      </c>
      <c r="AE105" s="639">
        <f>IF(N105="węgiel",Q105*'Założenia,wskaźniki, listy'!$C$48,IF(N105="gaz",Q105*'Założenia,wskaźniki, listy'!$D$48,IF(N105="drewno",Q105*'Założenia,wskaźniki, listy'!$E$48,IF(N105="pelet",Q105*'Założenia,wskaźniki, listy'!$G$48,IF(N105="olej opałowy",Q105*'Założenia,wskaźniki, listy'!$G$48,IF(N105="sieć ciepłownicza",0,IF(N105="prąd",0,0)))))))</f>
        <v>0</v>
      </c>
      <c r="AF105" s="639">
        <f>IF(N105="węgiel",Q105*'Założenia,wskaźniki, listy'!$C$49,IF(N105="gaz",Q105*'Założenia,wskaźniki, listy'!$D$49,IF(N105="drewno",Q105*'Założenia,wskaźniki, listy'!$E$49,IF(N105="pelet",Q105*'Założenia,wskaźniki, listy'!$G$49,IF(N105="olej opałowy",Q105*'Założenia,wskaźniki, listy'!$G$49,IF(N105="sieć ciepłownicza",0,IF(N105="prąd",0,0)))))))</f>
        <v>0</v>
      </c>
      <c r="AG105" s="639">
        <f>IF(N105="węgiel",Q105*'Założenia,wskaźniki, listy'!$C$50,IF(N105="gaz",Q105*'Założenia,wskaźniki, listy'!$D$50,IF(N105="drewno",Q105*'Założenia,wskaźniki, listy'!$E$50,IF(N105="pelet",Q105*'Założenia,wskaźniki, listy'!$G$50,IF(N105="olej opałowy",Q105*'Założenia,wskaźniki, listy'!$G$50,IF(N105="sieć ciepłownicza",0,IF(N105="prąd",0,0)))))))</f>
        <v>0</v>
      </c>
      <c r="AH105" s="640">
        <f>IF(L105="węgiel",(P105+R105)/2*'Założenia,wskaźniki, listy'!$C$4,IF(L105="gaz",(P105+R105)/2*'Założenia,wskaźniki, listy'!$C$5,IF(L105="drewno",(P105+R105)/2*'Założenia,wskaźniki, listy'!$C$6,IF(L105="pelet",(P105+R105)/2*'Założenia,wskaźniki, listy'!$C$7,IF(L105="olej opałowy",(P105+R105)/2*'Założenia,wskaźniki, listy'!$C$8,IF(L105="sieć ciepłownicza",(P105+R105)/2*'Założenia,wskaźniki, listy'!$C$9,IF(L105="sieć ciepłownicza",(P105+R105)/2*'Założenia,wskaźniki, listy'!$C$10,)))))))</f>
        <v>4642.2249999999995</v>
      </c>
      <c r="AI105" s="640">
        <f>IF(N105="węgiel",Q105*'Założenia,wskaźniki, listy'!$C$4,IF(N105="gaz",Q105*'Założenia,wskaźniki, listy'!$C$5,IF(N105="drewno",Q105*'Założenia,wskaźniki, listy'!$C$6,IF(N105="pelet",Q105*'Założenia,wskaźniki, listy'!$C$7,IF(N105="olej opałowy",Q105*'Założenia,wskaźniki, listy'!$C$8,IF(N105="sieć ciepłownicza",Q105*'Założenia,wskaźniki, listy'!$C$9,IF(N105="sieć ciepłownicza",Q105*'Założenia,wskaźniki, listy'!$C$10,0)))))))</f>
        <v>0</v>
      </c>
      <c r="AJ105" s="640">
        <f>S105*'Założenia,wskaźniki, listy'!$B$64*1000</f>
        <v>1281.4080000000001</v>
      </c>
      <c r="AK105" s="640">
        <f>(H105+I105)*'Założenia,wskaźniki, listy'!$D$64*12</f>
        <v>0</v>
      </c>
      <c r="AL105" s="640">
        <f>AK105*'Założenia,wskaźniki, listy'!$F$64</f>
        <v>0</v>
      </c>
      <c r="AM105" s="639">
        <f t="shared" si="128"/>
        <v>2.5436249999999997E-2</v>
      </c>
      <c r="AN105" s="639">
        <f t="shared" si="129"/>
        <v>2.2723050000000002E-2</v>
      </c>
      <c r="AO105" s="639">
        <f>V105+AC105+S105*'Założenia,wskaźniki, listy'!$J$46</f>
        <v>12.097998199999999</v>
      </c>
      <c r="AP105" s="639">
        <f t="shared" si="130"/>
        <v>3.05235E-5</v>
      </c>
      <c r="AQ105" s="639">
        <f t="shared" si="131"/>
        <v>0.10174499999999999</v>
      </c>
      <c r="AR105" s="639">
        <f t="shared" si="132"/>
        <v>1.78619E-2</v>
      </c>
      <c r="AS105" s="639">
        <f t="shared" si="133"/>
        <v>0.22741394725078226</v>
      </c>
      <c r="AT105" s="647"/>
      <c r="AU105" s="647"/>
      <c r="AV105" s="624" t="b">
        <f t="shared" si="135"/>
        <v>0</v>
      </c>
      <c r="AW105" s="624" t="b">
        <f t="shared" si="136"/>
        <v>0</v>
      </c>
      <c r="AX105" s="624" t="b">
        <f t="shared" si="137"/>
        <v>0</v>
      </c>
      <c r="AY105" s="624" t="b">
        <f t="shared" si="138"/>
        <v>0</v>
      </c>
      <c r="AZ105" s="624">
        <f t="shared" si="139"/>
        <v>180</v>
      </c>
      <c r="BA105" s="624" t="b">
        <f t="shared" si="140"/>
        <v>0</v>
      </c>
      <c r="BB105" s="624" t="b">
        <f t="shared" si="141"/>
        <v>0</v>
      </c>
      <c r="BC105" s="624" t="b">
        <f t="shared" si="142"/>
        <v>0</v>
      </c>
      <c r="BD105" s="624" t="b">
        <f t="shared" si="143"/>
        <v>0</v>
      </c>
      <c r="BE105" s="624" t="b">
        <f t="shared" si="144"/>
        <v>0</v>
      </c>
      <c r="BF105" s="624">
        <f t="shared" si="145"/>
        <v>113.05</v>
      </c>
      <c r="BG105" s="624" t="b">
        <f t="shared" si="146"/>
        <v>0</v>
      </c>
      <c r="BH105" s="624" t="b">
        <f t="shared" si="147"/>
        <v>0</v>
      </c>
      <c r="BI105" s="624" t="b">
        <f t="shared" si="148"/>
        <v>0</v>
      </c>
      <c r="BJ105" s="624" t="b">
        <f t="shared" si="149"/>
        <v>0</v>
      </c>
      <c r="BK105" s="624" t="b">
        <f t="shared" si="150"/>
        <v>0</v>
      </c>
      <c r="BL105" s="624" t="b">
        <f t="shared" si="151"/>
        <v>0</v>
      </c>
      <c r="BM105" s="624" t="b">
        <f t="shared" si="152"/>
        <v>0</v>
      </c>
      <c r="BN105" s="624" t="b">
        <f t="shared" si="153"/>
        <v>0</v>
      </c>
      <c r="BO105" s="624" t="b">
        <f t="shared" si="154"/>
        <v>0</v>
      </c>
      <c r="BP105" s="624" t="b">
        <f t="shared" si="155"/>
        <v>0</v>
      </c>
      <c r="BQ105" s="624" t="b">
        <f t="shared" si="156"/>
        <v>0</v>
      </c>
    </row>
    <row r="106" spans="1:69">
      <c r="A106" s="1087"/>
      <c r="B106" s="872"/>
      <c r="C106" s="872"/>
      <c r="D106" s="645"/>
      <c r="E106" s="645"/>
      <c r="F106" s="644"/>
      <c r="G106" s="644"/>
      <c r="H106" s="644"/>
      <c r="I106" s="635"/>
      <c r="J106" s="644">
        <f>IF(F106&lt;=1966,'Założenia,wskaźniki, listy'!$H$4,IF(F106&gt;1966,IF(F106&lt;=1985,'Założenia,wskaźniki, listy'!$H$5,IF(F106&gt;1985,IF(F106&lt;=1992,'Założenia,wskaźniki, listy'!$H$6,IF(F106&gt;1992,IF(F106&lt;=1996,'Założenia,wskaźniki, listy'!$H$7,IF(F106&gt;1996,IF(F106&lt;=2015,'Założenia,wskaźniki, listy'!$H$8)))))))))</f>
        <v>290</v>
      </c>
      <c r="K106" s="864"/>
      <c r="L106" s="644"/>
      <c r="M106" s="644"/>
      <c r="N106" s="644"/>
      <c r="O106" s="637">
        <f t="shared" si="134"/>
        <v>0</v>
      </c>
      <c r="P106" s="646">
        <f>IF(K106="kompletna",J106*G106*0.0036*'Założenia,wskaźniki, listy'!$P$9,IF(K106="częściowa",J106*G106*0.0036*'Założenia,wskaźniki, listy'!$P$10,IF(K106="brak",J106*G106*0.0036*'Założenia,wskaźniki, listy'!$P$11,0)))</f>
        <v>0</v>
      </c>
      <c r="Q106" s="638">
        <f>H106*'Założenia,wskaźniki, listy'!$L$15</f>
        <v>0</v>
      </c>
      <c r="R106" s="635">
        <f>IF(L106="węgiel",'Mieszkalne - baza'!M106*'Założenia,wskaźniki, listy'!$B$4,IF(L106="gaz",'Mieszkalne - baza'!M106*'Założenia,wskaźniki, listy'!$B$5,IF(L106="drewno",'Mieszkalne - baza'!M106*'Założenia,wskaźniki, listy'!$B$6,IF(L106="pelet",'Mieszkalne - baza'!M106*'Założenia,wskaźniki, listy'!$B$7,IF(L106="olej opałowy",'Mieszkalne - baza'!M106*'Założenia,wskaźniki, listy'!$B$8,IF(L106="sieć ciepłownicza",0,0))))))</f>
        <v>0</v>
      </c>
      <c r="S106" s="1085"/>
      <c r="T106" s="639">
        <f>IF(L106="węgiel",R106*'Założenia,wskaźniki, listy'!$C$44,IF(L106="gaz",R106*'Założenia,wskaźniki, listy'!$D$44,IF(L106="drewno",R106*'Założenia,wskaźniki, listy'!$E$44,IF(L106="pelet",R106*'Założenia,wskaźniki, listy'!$F$44,IF(L106="olej opałowy",R106*'Założenia,wskaźniki, listy'!$G$44,IF(L106="sieć ciepłownicza",0,IF(L106="prąd",0,0)))))))</f>
        <v>0</v>
      </c>
      <c r="U106" s="639">
        <f>IF(L106="węgiel",R106*'Założenia,wskaźniki, listy'!$C$45,IF(L106="gaz",R106*'Założenia,wskaźniki, listy'!$D$45,IF(L106="drewno",R106*'Założenia,wskaźniki, listy'!$E$45,IF(L106="pelet",R106*'Założenia,wskaźniki, listy'!$F$45,IF(L106="olej opałowy",R106*'Założenia,wskaźniki, listy'!$G$45,IF(L106="sieć ciepłownicza",0,IF(L106="prąd",0,0)))))))</f>
        <v>0</v>
      </c>
      <c r="V106" s="639">
        <f>IF(L106="węgiel",R106*'Założenia,wskaźniki, listy'!$C$46,IF(L106="gaz",R106*'Założenia,wskaźniki, listy'!$D$46,IF(L106="drewno",R106*'Założenia,wskaźniki, listy'!$E$46,IF(L106="pelet",R106*'Założenia,wskaźniki, listy'!$F$46,IF(L106="olej opałowy",R106*'Założenia,wskaźniki, listy'!$G$46,IF(L106="sieć ciepłownicza",R106*'Założenia,wskaźniki, listy'!$H$46,IF(L106="prąd",R106*'Założenia,wskaźniki, listy'!$I$46,0)))))))</f>
        <v>0</v>
      </c>
      <c r="W106" s="639">
        <f>IF(L106="węgiel",R106*'Założenia,wskaźniki, listy'!$C$47,IF(L106="gaz",R106*'Założenia,wskaźniki, listy'!$D$47,IF(L106="drewno",R106*'Założenia,wskaźniki, listy'!$E$47,IF(L106="pelet",R106*'Założenia,wskaźniki, listy'!$F$47,IF(L106="olej opałowy",R106*'Założenia,wskaźniki, listy'!$G$47,IF(L106="sieć ciepłownicza",0,IF(L106="prąd",0,0)))))))</f>
        <v>0</v>
      </c>
      <c r="X106" s="639">
        <f>IF(L106="węgiel",R106*'Założenia,wskaźniki, listy'!$C$48, IF(L106="gaz",R106*'Założenia,wskaźniki, listy'!$D$48,IF(L106="drewno",R106*'Założenia,wskaźniki, listy'!$E$48,IF(L106="pelet",R106*'Założenia,wskaźniki, listy'!$F$48,IF(L106="olej opałowy",R106*'Założenia,wskaźniki, listy'!$G$48,IF(L106="sieć ciepłownicza",0,IF(L106="prąd",0,0)))))))</f>
        <v>0</v>
      </c>
      <c r="Y106" s="639">
        <f>IF(L106="węgiel",R106*'Założenia,wskaźniki, listy'!$C$49, IF(L106="gaz",R106*'Założenia,wskaźniki, listy'!$D$49, IF(L106="drewno",R106*'Założenia,wskaźniki, listy'!$E$49,IF(L106="pelet",R106*'Założenia,wskaźniki, listy'!$F$49,IF(L106="olej opałowy",R106*'Założenia,wskaźniki, listy'!$G$49,IF(L106="sieć ciepłownicza",0,IF(L106="prąd",0,0)))))))</f>
        <v>0</v>
      </c>
      <c r="Z106" s="639">
        <f>IF(L106="węgiel",R106*'Założenia,wskaźniki, listy'!$C$50,IF(L106="gaz",R106*'Założenia,wskaźniki, listy'!$D$50, IF(L106="drewno",R106*'Założenia,wskaźniki, listy'!$E$50,IF(L106="pelet",R106*'Założenia,wskaźniki, listy'!$F$50,IF(L106="pelet",R106*'Założenia,wskaźniki, listy'!$F$50,IF(L106="olej opałowy",R106*'Założenia,wskaźniki, listy'!$G$50,IF(L106="sieć ciepłownicza",0,IF(L106="prąd",0,0))))))))</f>
        <v>0</v>
      </c>
      <c r="AA106" s="639">
        <f>IF(N106="węgiel",Q106*'Założenia,wskaźniki, listy'!$C$44,IF(N106="gaz",Q106*'Założenia,wskaźniki, listy'!$D$44,IF(N106="drewno",Q106*'Założenia,wskaźniki, listy'!$E$44,IF(N106="pelet",Q106*'Założenia,wskaźniki, listy'!$G$44,IF(N106="olej opałowy",Q106*'Założenia,wskaźniki, listy'!$G$44,IF(N106="sieć ciepłownicza",0,IF(N106="prąd",0,0)))))))</f>
        <v>0</v>
      </c>
      <c r="AB106" s="639">
        <f>IF(N106="węgiel",Q106*'Założenia,wskaźniki, listy'!$C$45,IF(N106="gaz",Q106*'Założenia,wskaźniki, listy'!$D$45,IF(N106="drewno",Q106*'Założenia,wskaźniki, listy'!$E$45,IF(N106="pelet",Q106*'Założenia,wskaźniki, listy'!$G$45,IF(N106="olej opałowy",Q106*'Założenia,wskaźniki, listy'!$G$45,IF(N106="sieć ciepłownicza",0,IF(N106="prąd",0,0)))))))</f>
        <v>0</v>
      </c>
      <c r="AC106" s="639">
        <f>IF(N106="węgiel",Q106*'Założenia,wskaźniki, listy'!$C$46,IF(N106="gaz",Q106*'Założenia,wskaźniki, listy'!$D$46,IF(N106="drewno",Q106*'Założenia,wskaźniki, listy'!$E$46,IF(N106="pelet",Q106*'Założenia,wskaźniki, listy'!$G$46,IF(N106="olej opałowy",Q106*'Założenia,wskaźniki, listy'!$G$46,IF(N106="sieć ciepłownicza",0,IF(N106="prąd",0,0)))))))</f>
        <v>0</v>
      </c>
      <c r="AD106" s="639">
        <f>IF(N106="węgiel",Q106*'Założenia,wskaźniki, listy'!$C$47,IF(N106="gaz",Q106*'Założenia,wskaźniki, listy'!$D$47,IF(N106="drewno",Q106*'Założenia,wskaźniki, listy'!$E$47,IF(N106="pelet",Q106*'Założenia,wskaźniki, listy'!$G$47,IF(N106="olej opałowy",Q106*'Założenia,wskaźniki, listy'!$G$47,IF(N106="sieć ciepłownicza",0,IF(N106="prąd",0,0)))))))</f>
        <v>0</v>
      </c>
      <c r="AE106" s="639">
        <f>IF(N106="węgiel",Q106*'Założenia,wskaźniki, listy'!$C$48,IF(N106="gaz",Q106*'Założenia,wskaźniki, listy'!$D$48,IF(N106="drewno",Q106*'Założenia,wskaźniki, listy'!$E$48,IF(N106="pelet",Q106*'Założenia,wskaźniki, listy'!$G$48,IF(N106="olej opałowy",Q106*'Założenia,wskaźniki, listy'!$G$48,IF(N106="sieć ciepłownicza",0,IF(N106="prąd",0,0)))))))</f>
        <v>0</v>
      </c>
      <c r="AF106" s="639">
        <f>IF(N106="węgiel",Q106*'Założenia,wskaźniki, listy'!$C$49,IF(N106="gaz",Q106*'Założenia,wskaźniki, listy'!$D$49,IF(N106="drewno",Q106*'Założenia,wskaźniki, listy'!$E$49,IF(N106="pelet",Q106*'Założenia,wskaźniki, listy'!$G$49,IF(N106="olej opałowy",Q106*'Założenia,wskaźniki, listy'!$G$49,IF(N106="sieć ciepłownicza",0,IF(N106="prąd",0,0)))))))</f>
        <v>0</v>
      </c>
      <c r="AG106" s="639">
        <f>IF(N106="węgiel",Q106*'Założenia,wskaźniki, listy'!$C$50,IF(N106="gaz",Q106*'Założenia,wskaźniki, listy'!$D$50,IF(N106="drewno",Q106*'Założenia,wskaźniki, listy'!$E$50,IF(N106="pelet",Q106*'Założenia,wskaźniki, listy'!$G$50,IF(N106="olej opałowy",Q106*'Założenia,wskaźniki, listy'!$G$50,IF(N106="sieć ciepłownicza",0,IF(N106="prąd",0,0)))))))</f>
        <v>0</v>
      </c>
      <c r="AH106" s="640">
        <f>IF(L106="węgiel",(P106+R106)/2*'Założenia,wskaźniki, listy'!$C$4,IF(L106="gaz",(P106+R106)/2*'Założenia,wskaźniki, listy'!$C$5,IF(L106="drewno",(P106+R106)/2*'Założenia,wskaźniki, listy'!$C$6,IF(L106="pelet",(P106+R106)/2*'Założenia,wskaźniki, listy'!$C$7,IF(L106="olej opałowy",(P106+R106)/2*'Założenia,wskaźniki, listy'!$C$8,IF(L106="sieć ciepłownicza",(P106+R106)/2*'Założenia,wskaźniki, listy'!$C$9,IF(L106="sieć ciepłownicza",(P106+R106)/2*'Założenia,wskaźniki, listy'!$C$10,)))))))</f>
        <v>0</v>
      </c>
      <c r="AI106" s="640">
        <f>IF(N106="węgiel",Q106*'Założenia,wskaźniki, listy'!$C$4,IF(N106="gaz",Q106*'Założenia,wskaźniki, listy'!$C$5,IF(N106="drewno",Q106*'Założenia,wskaźniki, listy'!$C$6,IF(N106="pelet",Q106*'Założenia,wskaźniki, listy'!$C$7,IF(N106="olej opałowy",Q106*'Założenia,wskaźniki, listy'!$C$8,IF(N106="sieć ciepłownicza",Q106*'Założenia,wskaźniki, listy'!$C$9,IF(N106="sieć ciepłownicza",Q106*'Założenia,wskaźniki, listy'!$C$10,0)))))))</f>
        <v>0</v>
      </c>
      <c r="AJ106" s="640">
        <f>S106*'Założenia,wskaźniki, listy'!$B$64*1000</f>
        <v>0</v>
      </c>
      <c r="AK106" s="640">
        <f>(H106+I106)*'Założenia,wskaźniki, listy'!$D$64*12</f>
        <v>0</v>
      </c>
      <c r="AL106" s="640">
        <f>AK106*'Założenia,wskaźniki, listy'!$F$64</f>
        <v>0</v>
      </c>
      <c r="AM106" s="639">
        <f t="shared" si="128"/>
        <v>0</v>
      </c>
      <c r="AN106" s="639">
        <f t="shared" si="129"/>
        <v>0</v>
      </c>
      <c r="AO106" s="639">
        <f>V106+AC106+S106*'Założenia,wskaźniki, listy'!$J$46</f>
        <v>0</v>
      </c>
      <c r="AP106" s="639">
        <f t="shared" si="130"/>
        <v>0</v>
      </c>
      <c r="AQ106" s="639">
        <f t="shared" si="131"/>
        <v>0</v>
      </c>
      <c r="AR106" s="639">
        <f t="shared" si="132"/>
        <v>0</v>
      </c>
      <c r="AS106" s="639">
        <f t="shared" si="133"/>
        <v>0</v>
      </c>
      <c r="AT106" s="647"/>
      <c r="AU106" s="647"/>
      <c r="AV106" s="624">
        <f t="shared" si="135"/>
        <v>0</v>
      </c>
      <c r="AW106" s="624" t="b">
        <f t="shared" si="136"/>
        <v>0</v>
      </c>
      <c r="AX106" s="624" t="b">
        <f t="shared" si="137"/>
        <v>0</v>
      </c>
      <c r="AY106" s="624" t="b">
        <f t="shared" si="138"/>
        <v>0</v>
      </c>
      <c r="AZ106" s="624" t="b">
        <f t="shared" si="139"/>
        <v>0</v>
      </c>
      <c r="BA106" s="624" t="b">
        <f t="shared" si="140"/>
        <v>0</v>
      </c>
      <c r="BB106" s="624" t="b">
        <f t="shared" si="141"/>
        <v>0</v>
      </c>
      <c r="BC106" s="624" t="b">
        <f t="shared" si="142"/>
        <v>0</v>
      </c>
      <c r="BD106" s="624" t="b">
        <f t="shared" si="143"/>
        <v>0</v>
      </c>
      <c r="BE106" s="624" t="b">
        <f t="shared" si="144"/>
        <v>0</v>
      </c>
      <c r="BF106" s="624" t="b">
        <f t="shared" si="145"/>
        <v>0</v>
      </c>
      <c r="BG106" s="624" t="b">
        <f t="shared" si="146"/>
        <v>0</v>
      </c>
      <c r="BH106" s="624" t="b">
        <f t="shared" si="147"/>
        <v>0</v>
      </c>
      <c r="BI106" s="624" t="b">
        <f t="shared" si="148"/>
        <v>0</v>
      </c>
      <c r="BJ106" s="624" t="b">
        <f t="shared" si="149"/>
        <v>0</v>
      </c>
      <c r="BK106" s="624" t="b">
        <f t="shared" si="150"/>
        <v>0</v>
      </c>
      <c r="BL106" s="624" t="b">
        <f t="shared" si="151"/>
        <v>0</v>
      </c>
      <c r="BM106" s="624" t="b">
        <f t="shared" si="152"/>
        <v>0</v>
      </c>
      <c r="BN106" s="624" t="b">
        <f t="shared" si="153"/>
        <v>0</v>
      </c>
      <c r="BO106" s="624" t="b">
        <f t="shared" si="154"/>
        <v>0</v>
      </c>
      <c r="BP106" s="624" t="b">
        <f t="shared" si="155"/>
        <v>0</v>
      </c>
      <c r="BQ106" s="624" t="b">
        <f t="shared" si="156"/>
        <v>0</v>
      </c>
    </row>
    <row r="107" spans="1:69">
      <c r="A107" s="1086">
        <v>52</v>
      </c>
      <c r="B107" s="872" t="s">
        <v>21</v>
      </c>
      <c r="C107" s="873" t="s">
        <v>634</v>
      </c>
      <c r="D107" s="645"/>
      <c r="E107" s="645" t="s">
        <v>635</v>
      </c>
      <c r="F107" s="644">
        <v>1992</v>
      </c>
      <c r="G107" s="644">
        <v>200</v>
      </c>
      <c r="H107" s="644"/>
      <c r="I107" s="635"/>
      <c r="J107" s="644">
        <f>IF(F107&lt;=1966,'Założenia,wskaźniki, listy'!$H$4,IF(F107&gt;1966,IF(F107&lt;=1985,'Założenia,wskaźniki, listy'!$H$5,IF(F107&gt;1985,IF(F107&lt;=1992,'Założenia,wskaźniki, listy'!$H$6,IF(F107&gt;1992,IF(F107&lt;=1996,'Założenia,wskaźniki, listy'!$H$7,IF(F107&gt;1996,IF(F107&lt;=2015,'Założenia,wskaźniki, listy'!$H$8)))))))))</f>
        <v>175</v>
      </c>
      <c r="K107" s="864" t="s">
        <v>31</v>
      </c>
      <c r="L107" s="644" t="s">
        <v>8</v>
      </c>
      <c r="M107" s="644">
        <v>5</v>
      </c>
      <c r="N107" s="644"/>
      <c r="O107" s="637">
        <f t="shared" si="134"/>
        <v>119.52500000000001</v>
      </c>
      <c r="P107" s="646">
        <f>IF(K107="kompletna",J107*G107*0.0036*'Założenia,wskaźniki, listy'!$P$9,IF(K107="częściowa",J107*G107*0.0036*'Założenia,wskaźniki, listy'!$P$10,IF(K107="brak",J107*G107*0.0036*'Założenia,wskaźniki, listy'!$P$11,0)))</f>
        <v>126</v>
      </c>
      <c r="Q107" s="638">
        <f>H107*'Założenia,wskaźniki, listy'!$L$15</f>
        <v>0</v>
      </c>
      <c r="R107" s="635">
        <f>IF(L107="węgiel",'Mieszkalne - baza'!M107*'Założenia,wskaźniki, listy'!$B$4,IF(L107="gaz",'Mieszkalne - baza'!M107*'Założenia,wskaźniki, listy'!$B$5,IF(L107="drewno",'Mieszkalne - baza'!M107*'Założenia,wskaźniki, listy'!$B$6,IF(L107="pelet",'Mieszkalne - baza'!M107*'Założenia,wskaźniki, listy'!$B$7,IF(L107="olej opałowy",'Mieszkalne - baza'!M107*'Założenia,wskaźniki, listy'!$B$8,IF(L107="sieć ciepłownicza",0,0))))))</f>
        <v>113.05</v>
      </c>
      <c r="S107" s="1084">
        <v>1.6919999999999999</v>
      </c>
      <c r="T107" s="639">
        <f>IF(L107="węgiel",R107*'Założenia,wskaźniki, listy'!$C$44,IF(L107="gaz",R107*'Założenia,wskaźniki, listy'!$D$44,IF(L107="drewno",R107*'Założenia,wskaźniki, listy'!$E$44,IF(L107="pelet",R107*'Założenia,wskaźniki, listy'!$F$44,IF(L107="olej opałowy",R107*'Założenia,wskaźniki, listy'!$G$44,IF(L107="sieć ciepłownicza",0,IF(L107="prąd",0,0)))))))</f>
        <v>2.5436249999999997E-2</v>
      </c>
      <c r="U107" s="639">
        <f>IF(L107="węgiel",R107*'Założenia,wskaźniki, listy'!$C$45,IF(L107="gaz",R107*'Założenia,wskaźniki, listy'!$D$45,IF(L107="drewno",R107*'Założenia,wskaźniki, listy'!$E$45,IF(L107="pelet",R107*'Założenia,wskaźniki, listy'!$F$45,IF(L107="olej opałowy",R107*'Założenia,wskaźniki, listy'!$G$45,IF(L107="sieć ciepłownicza",0,IF(L107="prąd",0,0)))))))</f>
        <v>2.2723050000000002E-2</v>
      </c>
      <c r="V107" s="639">
        <f>IF(L107="węgiel",R107*'Założenia,wskaźniki, listy'!$C$46,IF(L107="gaz",R107*'Założenia,wskaźniki, listy'!$D$46,IF(L107="drewno",R107*'Założenia,wskaźniki, listy'!$E$46,IF(L107="pelet",R107*'Założenia,wskaźniki, listy'!$F$46,IF(L107="olej opałowy",R107*'Założenia,wskaźniki, listy'!$G$46,IF(L107="sieć ciepłownicza",R107*'Założenia,wskaźniki, listy'!$H$46,IF(L107="prąd",R107*'Założenia,wskaźniki, listy'!$I$46,0)))))))</f>
        <v>10.597306999999999</v>
      </c>
      <c r="W107" s="639">
        <f>IF(L107="węgiel",R107*'Założenia,wskaźniki, listy'!$C$47,IF(L107="gaz",R107*'Założenia,wskaźniki, listy'!$D$47,IF(L107="drewno",R107*'Założenia,wskaźniki, listy'!$E$47,IF(L107="pelet",R107*'Założenia,wskaźniki, listy'!$F$47,IF(L107="olej opałowy",R107*'Założenia,wskaźniki, listy'!$G$47,IF(L107="sieć ciepłownicza",0,IF(L107="prąd",0,0)))))))</f>
        <v>3.05235E-5</v>
      </c>
      <c r="X107" s="639">
        <f>IF(L107="węgiel",R107*'Założenia,wskaźniki, listy'!$C$48, IF(L107="gaz",R107*'Założenia,wskaźniki, listy'!$D$48,IF(L107="drewno",R107*'Założenia,wskaźniki, listy'!$E$48,IF(L107="pelet",R107*'Założenia,wskaźniki, listy'!$F$48,IF(L107="olej opałowy",R107*'Założenia,wskaźniki, listy'!$G$48,IF(L107="sieć ciepłownicza",0,IF(L107="prąd",0,0)))))))</f>
        <v>0.10174499999999999</v>
      </c>
      <c r="Y107" s="639">
        <f>IF(L107="węgiel",R107*'Założenia,wskaźniki, listy'!$C$49, IF(L107="gaz",R107*'Założenia,wskaźniki, listy'!$D$49, IF(L107="drewno",R107*'Założenia,wskaźniki, listy'!$E$49,IF(L107="pelet",R107*'Założenia,wskaźniki, listy'!$F$49,IF(L107="olej opałowy",R107*'Założenia,wskaźniki, listy'!$G$49,IF(L107="sieć ciepłownicza",0,IF(L107="prąd",0,0)))))))</f>
        <v>1.78619E-2</v>
      </c>
      <c r="Z107" s="639">
        <f>IF(L107="węgiel",R107*'Założenia,wskaźniki, listy'!$C$50,IF(L107="gaz",R107*'Założenia,wskaźniki, listy'!$D$50, IF(L107="drewno",R107*'Założenia,wskaźniki, listy'!$E$50,IF(L107="pelet",R107*'Założenia,wskaźniki, listy'!$F$50,IF(L107="pelet",R107*'Założenia,wskaźniki, listy'!$F$50,IF(L107="olej opałowy",R107*'Założenia,wskaźniki, listy'!$G$50,IF(L107="sieć ciepłownicza",0,IF(L107="prąd",0,0))))))))</f>
        <v>0.22741394725078226</v>
      </c>
      <c r="AA107" s="639">
        <f>IF(N107="węgiel",Q107*'Założenia,wskaźniki, listy'!$C$44,IF(N107="gaz",Q107*'Założenia,wskaźniki, listy'!$D$44,IF(N107="drewno",Q107*'Założenia,wskaźniki, listy'!$E$44,IF(N107="pelet",Q107*'Założenia,wskaźniki, listy'!$G$44,IF(N107="olej opałowy",Q107*'Założenia,wskaźniki, listy'!$G$44,IF(N107="sieć ciepłownicza",0,IF(N107="prąd",0,0)))))))</f>
        <v>0</v>
      </c>
      <c r="AB107" s="639">
        <f>IF(N107="węgiel",Q107*'Założenia,wskaźniki, listy'!$C$45,IF(N107="gaz",Q107*'Założenia,wskaźniki, listy'!$D$45,IF(N107="drewno",Q107*'Założenia,wskaźniki, listy'!$E$45,IF(N107="pelet",Q107*'Założenia,wskaźniki, listy'!$G$45,IF(N107="olej opałowy",Q107*'Założenia,wskaźniki, listy'!$G$45,IF(N107="sieć ciepłownicza",0,IF(N107="prąd",0,0)))))))</f>
        <v>0</v>
      </c>
      <c r="AC107" s="639">
        <f>IF(N107="węgiel",Q107*'Założenia,wskaźniki, listy'!$C$46,IF(N107="gaz",Q107*'Założenia,wskaźniki, listy'!$D$46,IF(N107="drewno",Q107*'Założenia,wskaźniki, listy'!$E$46,IF(N107="pelet",Q107*'Założenia,wskaźniki, listy'!$G$46,IF(N107="olej opałowy",Q107*'Założenia,wskaźniki, listy'!$G$46,IF(N107="sieć ciepłownicza",0,IF(N107="prąd",0,0)))))))</f>
        <v>0</v>
      </c>
      <c r="AD107" s="639">
        <f>IF(N107="węgiel",Q107*'Założenia,wskaźniki, listy'!$C$47,IF(N107="gaz",Q107*'Założenia,wskaźniki, listy'!$D$47,IF(N107="drewno",Q107*'Założenia,wskaźniki, listy'!$E$47,IF(N107="pelet",Q107*'Założenia,wskaźniki, listy'!$G$47,IF(N107="olej opałowy",Q107*'Założenia,wskaźniki, listy'!$G$47,IF(N107="sieć ciepłownicza",0,IF(N107="prąd",0,0)))))))</f>
        <v>0</v>
      </c>
      <c r="AE107" s="639">
        <f>IF(N107="węgiel",Q107*'Założenia,wskaźniki, listy'!$C$48,IF(N107="gaz",Q107*'Założenia,wskaźniki, listy'!$D$48,IF(N107="drewno",Q107*'Założenia,wskaźniki, listy'!$E$48,IF(N107="pelet",Q107*'Założenia,wskaźniki, listy'!$G$48,IF(N107="olej opałowy",Q107*'Założenia,wskaźniki, listy'!$G$48,IF(N107="sieć ciepłownicza",0,IF(N107="prąd",0,0)))))))</f>
        <v>0</v>
      </c>
      <c r="AF107" s="639">
        <f>IF(N107="węgiel",Q107*'Założenia,wskaźniki, listy'!$C$49,IF(N107="gaz",Q107*'Założenia,wskaźniki, listy'!$D$49,IF(N107="drewno",Q107*'Założenia,wskaźniki, listy'!$E$49,IF(N107="pelet",Q107*'Założenia,wskaźniki, listy'!$G$49,IF(N107="olej opałowy",Q107*'Założenia,wskaźniki, listy'!$G$49,IF(N107="sieć ciepłownicza",0,IF(N107="prąd",0,0)))))))</f>
        <v>0</v>
      </c>
      <c r="AG107" s="639">
        <f>IF(N107="węgiel",Q107*'Założenia,wskaźniki, listy'!$C$50,IF(N107="gaz",Q107*'Założenia,wskaźniki, listy'!$D$50,IF(N107="drewno",Q107*'Założenia,wskaźniki, listy'!$E$50,IF(N107="pelet",Q107*'Założenia,wskaźniki, listy'!$G$50,IF(N107="olej opałowy",Q107*'Założenia,wskaźniki, listy'!$G$50,IF(N107="sieć ciepłownicza",0,IF(N107="prąd",0,0)))))))</f>
        <v>0</v>
      </c>
      <c r="AH107" s="640">
        <f>IF(L107="węgiel",(P107+R107)/2*'Założenia,wskaźniki, listy'!$C$4,IF(L107="gaz",(P107+R107)/2*'Założenia,wskaźniki, listy'!$C$5,IF(L107="drewno",(P107+R107)/2*'Założenia,wskaźniki, listy'!$C$6,IF(L107="pelet",(P107+R107)/2*'Założenia,wskaźniki, listy'!$C$7,IF(L107="olej opałowy",(P107+R107)/2*'Założenia,wskaźniki, listy'!$C$8,IF(L107="sieć ciepłownicza",(P107+R107)/2*'Założenia,wskaźniki, listy'!$C$9,IF(L107="sieć ciepłownicza",(P107+R107)/2*'Założenia,wskaźniki, listy'!$C$10,)))))))</f>
        <v>4900.5250000000005</v>
      </c>
      <c r="AI107" s="640">
        <f>IF(N107="węgiel",Q107*'Założenia,wskaźniki, listy'!$C$4,IF(N107="gaz",Q107*'Założenia,wskaźniki, listy'!$C$5,IF(N107="drewno",Q107*'Założenia,wskaźniki, listy'!$C$6,IF(N107="pelet",Q107*'Założenia,wskaźniki, listy'!$C$7,IF(N107="olej opałowy",Q107*'Założenia,wskaźniki, listy'!$C$8,IF(N107="sieć ciepłownicza",Q107*'Założenia,wskaźniki, listy'!$C$9,IF(N107="sieć ciepłownicza",Q107*'Założenia,wskaźniki, listy'!$C$10,0)))))))</f>
        <v>0</v>
      </c>
      <c r="AJ107" s="640">
        <f>S107*'Założenia,wskaźniki, listy'!$B$64*1000</f>
        <v>1201.32</v>
      </c>
      <c r="AK107" s="640">
        <f>(H107+I107)*'Założenia,wskaźniki, listy'!$D$64*12</f>
        <v>0</v>
      </c>
      <c r="AL107" s="640">
        <f>AK107*'Założenia,wskaźniki, listy'!$F$64</f>
        <v>0</v>
      </c>
      <c r="AM107" s="639">
        <f t="shared" si="128"/>
        <v>2.5436249999999997E-2</v>
      </c>
      <c r="AN107" s="639">
        <f t="shared" si="129"/>
        <v>2.2723050000000002E-2</v>
      </c>
      <c r="AO107" s="639">
        <f>V107+AC107+S107*'Założenia,wskaźniki, listy'!$J$46</f>
        <v>12.004204999999999</v>
      </c>
      <c r="AP107" s="639">
        <f t="shared" si="130"/>
        <v>3.05235E-5</v>
      </c>
      <c r="AQ107" s="639">
        <f t="shared" si="131"/>
        <v>0.10174499999999999</v>
      </c>
      <c r="AR107" s="639">
        <f t="shared" si="132"/>
        <v>1.78619E-2</v>
      </c>
      <c r="AS107" s="639">
        <f t="shared" si="133"/>
        <v>0.22741394725078226</v>
      </c>
      <c r="AT107" s="647"/>
      <c r="AU107" s="647"/>
      <c r="AV107" s="624" t="b">
        <f t="shared" si="135"/>
        <v>0</v>
      </c>
      <c r="AW107" s="624" t="b">
        <f t="shared" si="136"/>
        <v>0</v>
      </c>
      <c r="AX107" s="624" t="b">
        <f t="shared" si="137"/>
        <v>0</v>
      </c>
      <c r="AY107" s="624" t="b">
        <f t="shared" si="138"/>
        <v>0</v>
      </c>
      <c r="AZ107" s="624">
        <f t="shared" si="139"/>
        <v>200</v>
      </c>
      <c r="BA107" s="624" t="b">
        <f t="shared" si="140"/>
        <v>0</v>
      </c>
      <c r="BB107" s="624" t="b">
        <f t="shared" si="141"/>
        <v>0</v>
      </c>
      <c r="BC107" s="624" t="b">
        <f t="shared" si="142"/>
        <v>0</v>
      </c>
      <c r="BD107" s="624" t="b">
        <f t="shared" si="143"/>
        <v>0</v>
      </c>
      <c r="BE107" s="624" t="b">
        <f t="shared" si="144"/>
        <v>0</v>
      </c>
      <c r="BF107" s="624">
        <f t="shared" si="145"/>
        <v>113.05</v>
      </c>
      <c r="BG107" s="624" t="b">
        <f t="shared" si="146"/>
        <v>0</v>
      </c>
      <c r="BH107" s="624" t="b">
        <f t="shared" si="147"/>
        <v>0</v>
      </c>
      <c r="BI107" s="624" t="b">
        <f t="shared" si="148"/>
        <v>0</v>
      </c>
      <c r="BJ107" s="624" t="b">
        <f t="shared" si="149"/>
        <v>0</v>
      </c>
      <c r="BK107" s="624" t="b">
        <f t="shared" si="150"/>
        <v>0</v>
      </c>
      <c r="BL107" s="624" t="b">
        <f t="shared" si="151"/>
        <v>0</v>
      </c>
      <c r="BM107" s="624" t="b">
        <f t="shared" si="152"/>
        <v>0</v>
      </c>
      <c r="BN107" s="624" t="b">
        <f t="shared" si="153"/>
        <v>0</v>
      </c>
      <c r="BO107" s="624" t="b">
        <f t="shared" si="154"/>
        <v>0</v>
      </c>
      <c r="BP107" s="624" t="b">
        <f t="shared" si="155"/>
        <v>0</v>
      </c>
      <c r="BQ107" s="624" t="b">
        <f t="shared" si="156"/>
        <v>0</v>
      </c>
    </row>
    <row r="108" spans="1:69">
      <c r="A108" s="1087"/>
      <c r="B108" s="872"/>
      <c r="C108" s="872"/>
      <c r="D108" s="645"/>
      <c r="E108" s="645"/>
      <c r="F108" s="644"/>
      <c r="G108" s="644"/>
      <c r="H108" s="644"/>
      <c r="I108" s="635"/>
      <c r="J108" s="644">
        <f>IF(F108&lt;=1966,'Założenia,wskaźniki, listy'!$H$4,IF(F108&gt;1966,IF(F108&lt;=1985,'Założenia,wskaźniki, listy'!$H$5,IF(F108&gt;1985,IF(F108&lt;=1992,'Założenia,wskaźniki, listy'!$H$6,IF(F108&gt;1992,IF(F108&lt;=1996,'Założenia,wskaźniki, listy'!$H$7,IF(F108&gt;1996,IF(F108&lt;=2015,'Założenia,wskaźniki, listy'!$H$8)))))))))</f>
        <v>290</v>
      </c>
      <c r="K108" s="864"/>
      <c r="L108" s="644"/>
      <c r="M108" s="644"/>
      <c r="N108" s="644"/>
      <c r="O108" s="637">
        <f t="shared" si="134"/>
        <v>0</v>
      </c>
      <c r="P108" s="646">
        <f>IF(K108="kompletna",J108*G108*0.0036*'Założenia,wskaźniki, listy'!$P$9,IF(K108="częściowa",J108*G108*0.0036*'Założenia,wskaźniki, listy'!$P$10,IF(K108="brak",J108*G108*0.0036*'Założenia,wskaźniki, listy'!$P$11,0)))</f>
        <v>0</v>
      </c>
      <c r="Q108" s="638">
        <f>H108*'Założenia,wskaźniki, listy'!$L$15</f>
        <v>0</v>
      </c>
      <c r="R108" s="635">
        <f>IF(L108="węgiel",'Mieszkalne - baza'!M108*'Założenia,wskaźniki, listy'!$B$4,IF(L108="gaz",'Mieszkalne - baza'!M108*'Założenia,wskaźniki, listy'!$B$5,IF(L108="drewno",'Mieszkalne - baza'!M108*'Założenia,wskaźniki, listy'!$B$6,IF(L108="pelet",'Mieszkalne - baza'!M108*'Założenia,wskaźniki, listy'!$B$7,IF(L108="olej opałowy",'Mieszkalne - baza'!M108*'Założenia,wskaźniki, listy'!$B$8,IF(L108="sieć ciepłownicza",0,0))))))</f>
        <v>0</v>
      </c>
      <c r="S108" s="1085"/>
      <c r="T108" s="639">
        <f>IF(L108="węgiel",R108*'Założenia,wskaźniki, listy'!$C$44,IF(L108="gaz",R108*'Założenia,wskaźniki, listy'!$D$44,IF(L108="drewno",R108*'Założenia,wskaźniki, listy'!$E$44,IF(L108="pelet",R108*'Założenia,wskaźniki, listy'!$F$44,IF(L108="olej opałowy",R108*'Założenia,wskaźniki, listy'!$G$44,IF(L108="sieć ciepłownicza",0,IF(L108="prąd",0,0)))))))</f>
        <v>0</v>
      </c>
      <c r="U108" s="639">
        <f>IF(L108="węgiel",R108*'Założenia,wskaźniki, listy'!$C$45,IF(L108="gaz",R108*'Założenia,wskaźniki, listy'!$D$45,IF(L108="drewno",R108*'Założenia,wskaźniki, listy'!$E$45,IF(L108="pelet",R108*'Założenia,wskaźniki, listy'!$F$45,IF(L108="olej opałowy",R108*'Założenia,wskaźniki, listy'!$G$45,IF(L108="sieć ciepłownicza",0,IF(L108="prąd",0,0)))))))</f>
        <v>0</v>
      </c>
      <c r="V108" s="639">
        <f>IF(L108="węgiel",R108*'Założenia,wskaźniki, listy'!$C$46,IF(L108="gaz",R108*'Założenia,wskaźniki, listy'!$D$46,IF(L108="drewno",R108*'Założenia,wskaźniki, listy'!$E$46,IF(L108="pelet",R108*'Założenia,wskaźniki, listy'!$F$46,IF(L108="olej opałowy",R108*'Założenia,wskaźniki, listy'!$G$46,IF(L108="sieć ciepłownicza",R108*'Założenia,wskaźniki, listy'!$H$46,IF(L108="prąd",R108*'Założenia,wskaźniki, listy'!$I$46,0)))))))</f>
        <v>0</v>
      </c>
      <c r="W108" s="639">
        <f>IF(L108="węgiel",R108*'Założenia,wskaźniki, listy'!$C$47,IF(L108="gaz",R108*'Założenia,wskaźniki, listy'!$D$47,IF(L108="drewno",R108*'Założenia,wskaźniki, listy'!$E$47,IF(L108="pelet",R108*'Założenia,wskaźniki, listy'!$F$47,IF(L108="olej opałowy",R108*'Założenia,wskaźniki, listy'!$G$47,IF(L108="sieć ciepłownicza",0,IF(L108="prąd",0,0)))))))</f>
        <v>0</v>
      </c>
      <c r="X108" s="639">
        <f>IF(L108="węgiel",R108*'Założenia,wskaźniki, listy'!$C$48, IF(L108="gaz",R108*'Założenia,wskaźniki, listy'!$D$48,IF(L108="drewno",R108*'Założenia,wskaźniki, listy'!$E$48,IF(L108="pelet",R108*'Założenia,wskaźniki, listy'!$F$48,IF(L108="olej opałowy",R108*'Założenia,wskaźniki, listy'!$G$48,IF(L108="sieć ciepłownicza",0,IF(L108="prąd",0,0)))))))</f>
        <v>0</v>
      </c>
      <c r="Y108" s="639">
        <f>IF(L108="węgiel",R108*'Założenia,wskaźniki, listy'!$C$49, IF(L108="gaz",R108*'Założenia,wskaźniki, listy'!$D$49, IF(L108="drewno",R108*'Założenia,wskaźniki, listy'!$E$49,IF(L108="pelet",R108*'Założenia,wskaźniki, listy'!$F$49,IF(L108="olej opałowy",R108*'Założenia,wskaźniki, listy'!$G$49,IF(L108="sieć ciepłownicza",0,IF(L108="prąd",0,0)))))))</f>
        <v>0</v>
      </c>
      <c r="Z108" s="639">
        <f>IF(L108="węgiel",R108*'Założenia,wskaźniki, listy'!$C$50,IF(L108="gaz",R108*'Założenia,wskaźniki, listy'!$D$50, IF(L108="drewno",R108*'Założenia,wskaźniki, listy'!$E$50,IF(L108="pelet",R108*'Założenia,wskaźniki, listy'!$F$50,IF(L108="pelet",R108*'Założenia,wskaźniki, listy'!$F$50,IF(L108="olej opałowy",R108*'Założenia,wskaźniki, listy'!$G$50,IF(L108="sieć ciepłownicza",0,IF(L108="prąd",0,0))))))))</f>
        <v>0</v>
      </c>
      <c r="AA108" s="639">
        <f>IF(N108="węgiel",Q108*'Założenia,wskaźniki, listy'!$C$44,IF(N108="gaz",Q108*'Założenia,wskaźniki, listy'!$D$44,IF(N108="drewno",Q108*'Założenia,wskaźniki, listy'!$E$44,IF(N108="pelet",Q108*'Założenia,wskaźniki, listy'!$G$44,IF(N108="olej opałowy",Q108*'Założenia,wskaźniki, listy'!$G$44,IF(N108="sieć ciepłownicza",0,IF(N108="prąd",0,0)))))))</f>
        <v>0</v>
      </c>
      <c r="AB108" s="639">
        <f>IF(N108="węgiel",Q108*'Założenia,wskaźniki, listy'!$C$45,IF(N108="gaz",Q108*'Założenia,wskaźniki, listy'!$D$45,IF(N108="drewno",Q108*'Założenia,wskaźniki, listy'!$E$45,IF(N108="pelet",Q108*'Założenia,wskaźniki, listy'!$G$45,IF(N108="olej opałowy",Q108*'Założenia,wskaźniki, listy'!$G$45,IF(N108="sieć ciepłownicza",0,IF(N108="prąd",0,0)))))))</f>
        <v>0</v>
      </c>
      <c r="AC108" s="639">
        <f>IF(N108="węgiel",Q108*'Założenia,wskaźniki, listy'!$C$46,IF(N108="gaz",Q108*'Założenia,wskaźniki, listy'!$D$46,IF(N108="drewno",Q108*'Założenia,wskaźniki, listy'!$E$46,IF(N108="pelet",Q108*'Założenia,wskaźniki, listy'!$G$46,IF(N108="olej opałowy",Q108*'Założenia,wskaźniki, listy'!$G$46,IF(N108="sieć ciepłownicza",0,IF(N108="prąd",0,0)))))))</f>
        <v>0</v>
      </c>
      <c r="AD108" s="639">
        <f>IF(N108="węgiel",Q108*'Założenia,wskaźniki, listy'!$C$47,IF(N108="gaz",Q108*'Założenia,wskaźniki, listy'!$D$47,IF(N108="drewno",Q108*'Założenia,wskaźniki, listy'!$E$47,IF(N108="pelet",Q108*'Założenia,wskaźniki, listy'!$G$47,IF(N108="olej opałowy",Q108*'Założenia,wskaźniki, listy'!$G$47,IF(N108="sieć ciepłownicza",0,IF(N108="prąd",0,0)))))))</f>
        <v>0</v>
      </c>
      <c r="AE108" s="639">
        <f>IF(N108="węgiel",Q108*'Założenia,wskaźniki, listy'!$C$48,IF(N108="gaz",Q108*'Założenia,wskaźniki, listy'!$D$48,IF(N108="drewno",Q108*'Założenia,wskaźniki, listy'!$E$48,IF(N108="pelet",Q108*'Założenia,wskaźniki, listy'!$G$48,IF(N108="olej opałowy",Q108*'Założenia,wskaźniki, listy'!$G$48,IF(N108="sieć ciepłownicza",0,IF(N108="prąd",0,0)))))))</f>
        <v>0</v>
      </c>
      <c r="AF108" s="639">
        <f>IF(N108="węgiel",Q108*'Założenia,wskaźniki, listy'!$C$49,IF(N108="gaz",Q108*'Założenia,wskaźniki, listy'!$D$49,IF(N108="drewno",Q108*'Założenia,wskaźniki, listy'!$E$49,IF(N108="pelet",Q108*'Założenia,wskaźniki, listy'!$G$49,IF(N108="olej opałowy",Q108*'Założenia,wskaźniki, listy'!$G$49,IF(N108="sieć ciepłownicza",0,IF(N108="prąd",0,0)))))))</f>
        <v>0</v>
      </c>
      <c r="AG108" s="639">
        <f>IF(N108="węgiel",Q108*'Założenia,wskaźniki, listy'!$C$50,IF(N108="gaz",Q108*'Założenia,wskaźniki, listy'!$D$50,IF(N108="drewno",Q108*'Założenia,wskaźniki, listy'!$E$50,IF(N108="pelet",Q108*'Założenia,wskaźniki, listy'!$G$50,IF(N108="olej opałowy",Q108*'Założenia,wskaźniki, listy'!$G$50,IF(N108="sieć ciepłownicza",0,IF(N108="prąd",0,0)))))))</f>
        <v>0</v>
      </c>
      <c r="AH108" s="640">
        <f>IF(L108="węgiel",(P108+R108)/2*'Założenia,wskaźniki, listy'!$C$4,IF(L108="gaz",(P108+R108)/2*'Założenia,wskaźniki, listy'!$C$5,IF(L108="drewno",(P108+R108)/2*'Założenia,wskaźniki, listy'!$C$6,IF(L108="pelet",(P108+R108)/2*'Założenia,wskaźniki, listy'!$C$7,IF(L108="olej opałowy",(P108+R108)/2*'Założenia,wskaźniki, listy'!$C$8,IF(L108="sieć ciepłownicza",(P108+R108)/2*'Założenia,wskaźniki, listy'!$C$9,IF(L108="sieć ciepłownicza",(P108+R108)/2*'Założenia,wskaźniki, listy'!$C$10,)))))))</f>
        <v>0</v>
      </c>
      <c r="AI108" s="640">
        <f>IF(N108="węgiel",Q108*'Założenia,wskaźniki, listy'!$C$4,IF(N108="gaz",Q108*'Założenia,wskaźniki, listy'!$C$5,IF(N108="drewno",Q108*'Założenia,wskaźniki, listy'!$C$6,IF(N108="pelet",Q108*'Założenia,wskaźniki, listy'!$C$7,IF(N108="olej opałowy",Q108*'Założenia,wskaźniki, listy'!$C$8,IF(N108="sieć ciepłownicza",Q108*'Założenia,wskaźniki, listy'!$C$9,IF(N108="sieć ciepłownicza",Q108*'Założenia,wskaźniki, listy'!$C$10,0)))))))</f>
        <v>0</v>
      </c>
      <c r="AJ108" s="640">
        <f>S108*'Założenia,wskaźniki, listy'!$B$64*1000</f>
        <v>0</v>
      </c>
      <c r="AK108" s="640">
        <f>(H108+I108)*'Założenia,wskaźniki, listy'!$D$64*12</f>
        <v>0</v>
      </c>
      <c r="AL108" s="640">
        <f>AK108*'Założenia,wskaźniki, listy'!$F$64</f>
        <v>0</v>
      </c>
      <c r="AM108" s="639">
        <f t="shared" si="128"/>
        <v>0</v>
      </c>
      <c r="AN108" s="639">
        <f t="shared" si="129"/>
        <v>0</v>
      </c>
      <c r="AO108" s="639">
        <f>V108+AC108+S108*'Założenia,wskaźniki, listy'!$J$46</f>
        <v>0</v>
      </c>
      <c r="AP108" s="639">
        <f t="shared" si="130"/>
        <v>0</v>
      </c>
      <c r="AQ108" s="639">
        <f t="shared" si="131"/>
        <v>0</v>
      </c>
      <c r="AR108" s="639">
        <f t="shared" si="132"/>
        <v>0</v>
      </c>
      <c r="AS108" s="639">
        <f t="shared" si="133"/>
        <v>0</v>
      </c>
      <c r="AT108" s="647"/>
      <c r="AU108" s="647"/>
      <c r="AV108" s="624">
        <f t="shared" si="135"/>
        <v>0</v>
      </c>
      <c r="AW108" s="624" t="b">
        <f t="shared" si="136"/>
        <v>0</v>
      </c>
      <c r="AX108" s="624" t="b">
        <f t="shared" si="137"/>
        <v>0</v>
      </c>
      <c r="AY108" s="624" t="b">
        <f t="shared" si="138"/>
        <v>0</v>
      </c>
      <c r="AZ108" s="624" t="b">
        <f t="shared" si="139"/>
        <v>0</v>
      </c>
      <c r="BA108" s="624" t="b">
        <f t="shared" si="140"/>
        <v>0</v>
      </c>
      <c r="BB108" s="624" t="b">
        <f t="shared" si="141"/>
        <v>0</v>
      </c>
      <c r="BC108" s="624" t="b">
        <f t="shared" si="142"/>
        <v>0</v>
      </c>
      <c r="BD108" s="624" t="b">
        <f t="shared" si="143"/>
        <v>0</v>
      </c>
      <c r="BE108" s="624" t="b">
        <f t="shared" si="144"/>
        <v>0</v>
      </c>
      <c r="BF108" s="624" t="b">
        <f t="shared" si="145"/>
        <v>0</v>
      </c>
      <c r="BG108" s="624" t="b">
        <f t="shared" si="146"/>
        <v>0</v>
      </c>
      <c r="BH108" s="624" t="b">
        <f t="shared" si="147"/>
        <v>0</v>
      </c>
      <c r="BI108" s="624" t="b">
        <f t="shared" si="148"/>
        <v>0</v>
      </c>
      <c r="BJ108" s="624" t="b">
        <f t="shared" si="149"/>
        <v>0</v>
      </c>
      <c r="BK108" s="624" t="b">
        <f t="shared" si="150"/>
        <v>0</v>
      </c>
      <c r="BL108" s="624" t="b">
        <f t="shared" si="151"/>
        <v>0</v>
      </c>
      <c r="BM108" s="624" t="b">
        <f t="shared" si="152"/>
        <v>0</v>
      </c>
      <c r="BN108" s="624" t="b">
        <f t="shared" si="153"/>
        <v>0</v>
      </c>
      <c r="BO108" s="624" t="b">
        <f t="shared" si="154"/>
        <v>0</v>
      </c>
      <c r="BP108" s="624" t="b">
        <f t="shared" si="155"/>
        <v>0</v>
      </c>
      <c r="BQ108" s="624" t="b">
        <f t="shared" si="156"/>
        <v>0</v>
      </c>
    </row>
    <row r="109" spans="1:69">
      <c r="A109" s="1086">
        <v>53</v>
      </c>
      <c r="B109" s="872" t="s">
        <v>21</v>
      </c>
      <c r="C109" s="873" t="s">
        <v>634</v>
      </c>
      <c r="D109" s="645"/>
      <c r="E109" s="645">
        <v>7</v>
      </c>
      <c r="F109" s="644">
        <v>1953</v>
      </c>
      <c r="G109" s="644">
        <v>70</v>
      </c>
      <c r="H109" s="644"/>
      <c r="I109" s="635"/>
      <c r="J109" s="644">
        <f>IF(F109&lt;=1966,'Założenia,wskaźniki, listy'!$H$4,IF(F109&gt;1966,IF(F109&lt;=1985,'Założenia,wskaźniki, listy'!$H$5,IF(F109&gt;1985,IF(F109&lt;=1992,'Założenia,wskaźniki, listy'!$H$6,IF(F109&gt;1992,IF(F109&lt;=1996,'Założenia,wskaźniki, listy'!$H$7,IF(F109&gt;1996,IF(F109&lt;=2015,'Założenia,wskaźniki, listy'!$H$8)))))))))</f>
        <v>290</v>
      </c>
      <c r="K109" s="864" t="s">
        <v>31</v>
      </c>
      <c r="L109" s="644" t="s">
        <v>8</v>
      </c>
      <c r="M109" s="644">
        <v>2</v>
      </c>
      <c r="N109" s="644"/>
      <c r="O109" s="637">
        <f t="shared" si="134"/>
        <v>59.15</v>
      </c>
      <c r="P109" s="646">
        <f>IF(K109="kompletna",J109*G109*0.0036*'Założenia,wskaźniki, listy'!$P$9,IF(K109="częściowa",J109*G109*0.0036*'Założenia,wskaźniki, listy'!$P$10,IF(K109="brak",J109*G109*0.0036*'Założenia,wskaźniki, listy'!$P$11,0)))</f>
        <v>73.08</v>
      </c>
      <c r="Q109" s="638">
        <f>H109*'Założenia,wskaźniki, listy'!$L$15</f>
        <v>0</v>
      </c>
      <c r="R109" s="635">
        <f>IF(L109="węgiel",'Mieszkalne - baza'!M109*'Założenia,wskaźniki, listy'!$B$4,IF(L109="gaz",'Mieszkalne - baza'!M109*'Założenia,wskaźniki, listy'!$B$5,IF(L109="drewno",'Mieszkalne - baza'!M109*'Założenia,wskaźniki, listy'!$B$6,IF(L109="pelet",'Mieszkalne - baza'!M109*'Założenia,wskaźniki, listy'!$B$7,IF(L109="olej opałowy",'Mieszkalne - baza'!M109*'Założenia,wskaźniki, listy'!$B$8,IF(L109="sieć ciepłownicza",0,0))))))</f>
        <v>45.22</v>
      </c>
      <c r="S109" s="1084">
        <v>2.0304000000000002</v>
      </c>
      <c r="T109" s="639">
        <f>IF(L109="węgiel",R109*'Założenia,wskaźniki, listy'!$C$44,IF(L109="gaz",R109*'Założenia,wskaźniki, listy'!$D$44,IF(L109="drewno",R109*'Założenia,wskaźniki, listy'!$E$44,IF(L109="pelet",R109*'Założenia,wskaźniki, listy'!$F$44,IF(L109="olej opałowy",R109*'Założenia,wskaźniki, listy'!$G$44,IF(L109="sieć ciepłownicza",0,IF(L109="prąd",0,0)))))))</f>
        <v>1.01745E-2</v>
      </c>
      <c r="U109" s="639">
        <f>IF(L109="węgiel",R109*'Założenia,wskaźniki, listy'!$C$45,IF(L109="gaz",R109*'Założenia,wskaźniki, listy'!$D$45,IF(L109="drewno",R109*'Założenia,wskaźniki, listy'!$E$45,IF(L109="pelet",R109*'Założenia,wskaźniki, listy'!$F$45,IF(L109="olej opałowy",R109*'Założenia,wskaźniki, listy'!$G$45,IF(L109="sieć ciepłownicza",0,IF(L109="prąd",0,0)))))))</f>
        <v>9.0892200000000003E-3</v>
      </c>
      <c r="V109" s="639">
        <f>IF(L109="węgiel",R109*'Założenia,wskaźniki, listy'!$C$46,IF(L109="gaz",R109*'Założenia,wskaźniki, listy'!$D$46,IF(L109="drewno",R109*'Założenia,wskaźniki, listy'!$E$46,IF(L109="pelet",R109*'Założenia,wskaźniki, listy'!$F$46,IF(L109="olej opałowy",R109*'Założenia,wskaźniki, listy'!$G$46,IF(L109="sieć ciepłownicza",R109*'Założenia,wskaźniki, listy'!$H$46,IF(L109="prąd",R109*'Założenia,wskaźniki, listy'!$I$46,0)))))))</f>
        <v>4.2389227999999992</v>
      </c>
      <c r="W109" s="639">
        <f>IF(L109="węgiel",R109*'Założenia,wskaźniki, listy'!$C$47,IF(L109="gaz",R109*'Założenia,wskaźniki, listy'!$D$47,IF(L109="drewno",R109*'Założenia,wskaźniki, listy'!$E$47,IF(L109="pelet",R109*'Założenia,wskaźniki, listy'!$F$47,IF(L109="olej opałowy",R109*'Założenia,wskaźniki, listy'!$G$47,IF(L109="sieć ciepłownicza",0,IF(L109="prąd",0,0)))))))</f>
        <v>1.22094E-5</v>
      </c>
      <c r="X109" s="639">
        <f>IF(L109="węgiel",R109*'Założenia,wskaźniki, listy'!$C$48, IF(L109="gaz",R109*'Założenia,wskaźniki, listy'!$D$48,IF(L109="drewno",R109*'Założenia,wskaźniki, listy'!$E$48,IF(L109="pelet",R109*'Założenia,wskaźniki, listy'!$F$48,IF(L109="olej opałowy",R109*'Założenia,wskaźniki, listy'!$G$48,IF(L109="sieć ciepłownicza",0,IF(L109="prąd",0,0)))))))</f>
        <v>4.0697999999999998E-2</v>
      </c>
      <c r="Y109" s="639">
        <f>IF(L109="węgiel",R109*'Założenia,wskaźniki, listy'!$C$49, IF(L109="gaz",R109*'Założenia,wskaźniki, listy'!$D$49, IF(L109="drewno",R109*'Założenia,wskaźniki, listy'!$E$49,IF(L109="pelet",R109*'Założenia,wskaźniki, listy'!$F$49,IF(L109="olej opałowy",R109*'Założenia,wskaźniki, listy'!$G$49,IF(L109="sieć ciepłownicza",0,IF(L109="prąd",0,0)))))))</f>
        <v>7.1447599999999991E-3</v>
      </c>
      <c r="Z109" s="639">
        <f>IF(L109="węgiel",R109*'Założenia,wskaźniki, listy'!$C$50,IF(L109="gaz",R109*'Założenia,wskaźniki, listy'!$D$50, IF(L109="drewno",R109*'Założenia,wskaźniki, listy'!$E$50,IF(L109="pelet",R109*'Założenia,wskaźniki, listy'!$F$50,IF(L109="pelet",R109*'Założenia,wskaźniki, listy'!$F$50,IF(L109="olej opałowy",R109*'Założenia,wskaźniki, listy'!$G$50,IF(L109="sieć ciepłownicza",0,IF(L109="prąd",0,0))))))))</f>
        <v>9.0965578900312913E-2</v>
      </c>
      <c r="AA109" s="639">
        <f>IF(N109="węgiel",Q109*'Założenia,wskaźniki, listy'!$C$44,IF(N109="gaz",Q109*'Założenia,wskaźniki, listy'!$D$44,IF(N109="drewno",Q109*'Założenia,wskaźniki, listy'!$E$44,IF(N109="pelet",Q109*'Założenia,wskaźniki, listy'!$G$44,IF(N109="olej opałowy",Q109*'Założenia,wskaźniki, listy'!$G$44,IF(N109="sieć ciepłownicza",0,IF(N109="prąd",0,0)))))))</f>
        <v>0</v>
      </c>
      <c r="AB109" s="639">
        <f>IF(N109="węgiel",Q109*'Założenia,wskaźniki, listy'!$C$45,IF(N109="gaz",Q109*'Założenia,wskaźniki, listy'!$D$45,IF(N109="drewno",Q109*'Założenia,wskaźniki, listy'!$E$45,IF(N109="pelet",Q109*'Założenia,wskaźniki, listy'!$G$45,IF(N109="olej opałowy",Q109*'Założenia,wskaźniki, listy'!$G$45,IF(N109="sieć ciepłownicza",0,IF(N109="prąd",0,0)))))))</f>
        <v>0</v>
      </c>
      <c r="AC109" s="639">
        <f>IF(N109="węgiel",Q109*'Założenia,wskaźniki, listy'!$C$46,IF(N109="gaz",Q109*'Założenia,wskaźniki, listy'!$D$46,IF(N109="drewno",Q109*'Założenia,wskaźniki, listy'!$E$46,IF(N109="pelet",Q109*'Założenia,wskaźniki, listy'!$G$46,IF(N109="olej opałowy",Q109*'Założenia,wskaźniki, listy'!$G$46,IF(N109="sieć ciepłownicza",0,IF(N109="prąd",0,0)))))))</f>
        <v>0</v>
      </c>
      <c r="AD109" s="639">
        <f>IF(N109="węgiel",Q109*'Założenia,wskaźniki, listy'!$C$47,IF(N109="gaz",Q109*'Założenia,wskaźniki, listy'!$D$47,IF(N109="drewno",Q109*'Założenia,wskaźniki, listy'!$E$47,IF(N109="pelet",Q109*'Założenia,wskaźniki, listy'!$G$47,IF(N109="olej opałowy",Q109*'Założenia,wskaźniki, listy'!$G$47,IF(N109="sieć ciepłownicza",0,IF(N109="prąd",0,0)))))))</f>
        <v>0</v>
      </c>
      <c r="AE109" s="639">
        <f>IF(N109="węgiel",Q109*'Założenia,wskaźniki, listy'!$C$48,IF(N109="gaz",Q109*'Założenia,wskaźniki, listy'!$D$48,IF(N109="drewno",Q109*'Założenia,wskaźniki, listy'!$E$48,IF(N109="pelet",Q109*'Założenia,wskaźniki, listy'!$G$48,IF(N109="olej opałowy",Q109*'Założenia,wskaźniki, listy'!$G$48,IF(N109="sieć ciepłownicza",0,IF(N109="prąd",0,0)))))))</f>
        <v>0</v>
      </c>
      <c r="AF109" s="639">
        <f>IF(N109="węgiel",Q109*'Założenia,wskaźniki, listy'!$C$49,IF(N109="gaz",Q109*'Założenia,wskaźniki, listy'!$D$49,IF(N109="drewno",Q109*'Założenia,wskaźniki, listy'!$E$49,IF(N109="pelet",Q109*'Założenia,wskaźniki, listy'!$G$49,IF(N109="olej opałowy",Q109*'Założenia,wskaźniki, listy'!$G$49,IF(N109="sieć ciepłownicza",0,IF(N109="prąd",0,0)))))))</f>
        <v>0</v>
      </c>
      <c r="AG109" s="639">
        <f>IF(N109="węgiel",Q109*'Założenia,wskaźniki, listy'!$C$50,IF(N109="gaz",Q109*'Założenia,wskaźniki, listy'!$D$50,IF(N109="drewno",Q109*'Założenia,wskaźniki, listy'!$E$50,IF(N109="pelet",Q109*'Założenia,wskaźniki, listy'!$G$50,IF(N109="olej opałowy",Q109*'Założenia,wskaźniki, listy'!$G$50,IF(N109="sieć ciepłownicza",0,IF(N109="prąd",0,0)))))))</f>
        <v>0</v>
      </c>
      <c r="AH109" s="640">
        <f>IF(L109="węgiel",(P109+R109)/2*'Założenia,wskaźniki, listy'!$C$4,IF(L109="gaz",(P109+R109)/2*'Założenia,wskaźniki, listy'!$C$5,IF(L109="drewno",(P109+R109)/2*'Założenia,wskaźniki, listy'!$C$6,IF(L109="pelet",(P109+R109)/2*'Założenia,wskaźniki, listy'!$C$7,IF(L109="olej opałowy",(P109+R109)/2*'Założenia,wskaźniki, listy'!$C$8,IF(L109="sieć ciepłownicza",(P109+R109)/2*'Założenia,wskaźniki, listy'!$C$9,IF(L109="sieć ciepłownicza",(P109+R109)/2*'Założenia,wskaźniki, listy'!$C$10,)))))))</f>
        <v>2425.15</v>
      </c>
      <c r="AI109" s="640">
        <f>IF(N109="węgiel",Q109*'Założenia,wskaźniki, listy'!$C$4,IF(N109="gaz",Q109*'Założenia,wskaźniki, listy'!$C$5,IF(N109="drewno",Q109*'Założenia,wskaźniki, listy'!$C$6,IF(N109="pelet",Q109*'Założenia,wskaźniki, listy'!$C$7,IF(N109="olej opałowy",Q109*'Założenia,wskaźniki, listy'!$C$8,IF(N109="sieć ciepłownicza",Q109*'Założenia,wskaźniki, listy'!$C$9,IF(N109="sieć ciepłownicza",Q109*'Założenia,wskaźniki, listy'!$C$10,0)))))))</f>
        <v>0</v>
      </c>
      <c r="AJ109" s="640">
        <f>S109*'Założenia,wskaźniki, listy'!$B$64*1000</f>
        <v>1441.5840000000001</v>
      </c>
      <c r="AK109" s="640">
        <f>(H109+I109)*'Założenia,wskaźniki, listy'!$D$64*12</f>
        <v>0</v>
      </c>
      <c r="AL109" s="640">
        <f>AK109*'Założenia,wskaźniki, listy'!$F$64</f>
        <v>0</v>
      </c>
      <c r="AM109" s="639">
        <f t="shared" si="128"/>
        <v>1.01745E-2</v>
      </c>
      <c r="AN109" s="639">
        <f t="shared" si="129"/>
        <v>9.0892200000000003E-3</v>
      </c>
      <c r="AO109" s="639">
        <f>V109+AC109+S109*'Założenia,wskaźniki, listy'!$J$46</f>
        <v>5.9272003999999994</v>
      </c>
      <c r="AP109" s="639">
        <f t="shared" si="130"/>
        <v>1.22094E-5</v>
      </c>
      <c r="AQ109" s="639">
        <f t="shared" si="131"/>
        <v>4.0697999999999998E-2</v>
      </c>
      <c r="AR109" s="639">
        <f t="shared" si="132"/>
        <v>7.1447599999999991E-3</v>
      </c>
      <c r="AS109" s="639">
        <f t="shared" si="133"/>
        <v>9.0965578900312913E-2</v>
      </c>
      <c r="AT109" s="647"/>
      <c r="AU109" s="647"/>
      <c r="AV109" s="624">
        <f t="shared" si="135"/>
        <v>70</v>
      </c>
      <c r="AW109" s="624" t="b">
        <f t="shared" si="136"/>
        <v>0</v>
      </c>
      <c r="AX109" s="624" t="b">
        <f t="shared" si="137"/>
        <v>0</v>
      </c>
      <c r="AY109" s="624" t="b">
        <f t="shared" si="138"/>
        <v>0</v>
      </c>
      <c r="AZ109" s="624" t="b">
        <f t="shared" si="139"/>
        <v>0</v>
      </c>
      <c r="BA109" s="624" t="b">
        <f t="shared" si="140"/>
        <v>0</v>
      </c>
      <c r="BB109" s="624" t="b">
        <f t="shared" si="141"/>
        <v>0</v>
      </c>
      <c r="BC109" s="624" t="b">
        <f t="shared" si="142"/>
        <v>0</v>
      </c>
      <c r="BD109" s="624" t="b">
        <f t="shared" si="143"/>
        <v>0</v>
      </c>
      <c r="BE109" s="624" t="b">
        <f t="shared" si="144"/>
        <v>0</v>
      </c>
      <c r="BF109" s="624">
        <f t="shared" si="145"/>
        <v>45.22</v>
      </c>
      <c r="BG109" s="624" t="b">
        <f t="shared" si="146"/>
        <v>0</v>
      </c>
      <c r="BH109" s="624" t="b">
        <f t="shared" si="147"/>
        <v>0</v>
      </c>
      <c r="BI109" s="624" t="b">
        <f t="shared" si="148"/>
        <v>0</v>
      </c>
      <c r="BJ109" s="624" t="b">
        <f t="shared" si="149"/>
        <v>0</v>
      </c>
      <c r="BK109" s="624" t="b">
        <f t="shared" si="150"/>
        <v>0</v>
      </c>
      <c r="BL109" s="624" t="b">
        <f t="shared" si="151"/>
        <v>0</v>
      </c>
      <c r="BM109" s="624" t="b">
        <f t="shared" si="152"/>
        <v>0</v>
      </c>
      <c r="BN109" s="624" t="b">
        <f t="shared" si="153"/>
        <v>0</v>
      </c>
      <c r="BO109" s="624" t="b">
        <f t="shared" si="154"/>
        <v>0</v>
      </c>
      <c r="BP109" s="624" t="b">
        <f t="shared" si="155"/>
        <v>0</v>
      </c>
      <c r="BQ109" s="624" t="b">
        <f t="shared" si="156"/>
        <v>0</v>
      </c>
    </row>
    <row r="110" spans="1:69">
      <c r="A110" s="1087"/>
      <c r="B110" s="872"/>
      <c r="C110" s="872"/>
      <c r="D110" s="645"/>
      <c r="E110" s="645"/>
      <c r="F110" s="644"/>
      <c r="G110" s="644"/>
      <c r="H110" s="644"/>
      <c r="I110" s="635"/>
      <c r="J110" s="644">
        <f>IF(F110&lt;=1966,'Założenia,wskaźniki, listy'!$H$4,IF(F110&gt;1966,IF(F110&lt;=1985,'Założenia,wskaźniki, listy'!$H$5,IF(F110&gt;1985,IF(F110&lt;=1992,'Założenia,wskaźniki, listy'!$H$6,IF(F110&gt;1992,IF(F110&lt;=1996,'Założenia,wskaźniki, listy'!$H$7,IF(F110&gt;1996,IF(F110&lt;=2015,'Założenia,wskaźniki, listy'!$H$8)))))))))</f>
        <v>290</v>
      </c>
      <c r="K110" s="864"/>
      <c r="L110" s="644"/>
      <c r="M110" s="644"/>
      <c r="N110" s="644"/>
      <c r="O110" s="637">
        <f t="shared" si="134"/>
        <v>0</v>
      </c>
      <c r="P110" s="646">
        <f>IF(K110="kompletna",J110*G110*0.0036*'Założenia,wskaźniki, listy'!$P$9,IF(K110="częściowa",J110*G110*0.0036*'Założenia,wskaźniki, listy'!$P$10,IF(K110="brak",J110*G110*0.0036*'Założenia,wskaźniki, listy'!$P$11,0)))</f>
        <v>0</v>
      </c>
      <c r="Q110" s="638">
        <f>H110*'Założenia,wskaźniki, listy'!$L$15</f>
        <v>0</v>
      </c>
      <c r="R110" s="635">
        <f>IF(L110="węgiel",'Mieszkalne - baza'!M110*'Założenia,wskaźniki, listy'!$B$4,IF(L110="gaz",'Mieszkalne - baza'!M110*'Założenia,wskaźniki, listy'!$B$5,IF(L110="drewno",'Mieszkalne - baza'!M110*'Założenia,wskaźniki, listy'!$B$6,IF(L110="pelet",'Mieszkalne - baza'!M110*'Założenia,wskaźniki, listy'!$B$7,IF(L110="olej opałowy",'Mieszkalne - baza'!M110*'Założenia,wskaźniki, listy'!$B$8,IF(L110="sieć ciepłownicza",0,0))))))</f>
        <v>0</v>
      </c>
      <c r="S110" s="1085"/>
      <c r="T110" s="639">
        <f>IF(L110="węgiel",R110*'Założenia,wskaźniki, listy'!$C$44,IF(L110="gaz",R110*'Założenia,wskaźniki, listy'!$D$44,IF(L110="drewno",R110*'Założenia,wskaźniki, listy'!$E$44,IF(L110="pelet",R110*'Założenia,wskaźniki, listy'!$F$44,IF(L110="olej opałowy",R110*'Założenia,wskaźniki, listy'!$G$44,IF(L110="sieć ciepłownicza",0,IF(L110="prąd",0,0)))))))</f>
        <v>0</v>
      </c>
      <c r="U110" s="639">
        <f>IF(L110="węgiel",R110*'Założenia,wskaźniki, listy'!$C$45,IF(L110="gaz",R110*'Założenia,wskaźniki, listy'!$D$45,IF(L110="drewno",R110*'Założenia,wskaźniki, listy'!$E$45,IF(L110="pelet",R110*'Założenia,wskaźniki, listy'!$F$45,IF(L110="olej opałowy",R110*'Założenia,wskaźniki, listy'!$G$45,IF(L110="sieć ciepłownicza",0,IF(L110="prąd",0,0)))))))</f>
        <v>0</v>
      </c>
      <c r="V110" s="639">
        <f>IF(L110="węgiel",R110*'Założenia,wskaźniki, listy'!$C$46,IF(L110="gaz",R110*'Założenia,wskaźniki, listy'!$D$46,IF(L110="drewno",R110*'Założenia,wskaźniki, listy'!$E$46,IF(L110="pelet",R110*'Założenia,wskaźniki, listy'!$F$46,IF(L110="olej opałowy",R110*'Założenia,wskaźniki, listy'!$G$46,IF(L110="sieć ciepłownicza",R110*'Założenia,wskaźniki, listy'!$H$46,IF(L110="prąd",R110*'Założenia,wskaźniki, listy'!$I$46,0)))))))</f>
        <v>0</v>
      </c>
      <c r="W110" s="639">
        <f>IF(L110="węgiel",R110*'Założenia,wskaźniki, listy'!$C$47,IF(L110="gaz",R110*'Założenia,wskaźniki, listy'!$D$47,IF(L110="drewno",R110*'Założenia,wskaźniki, listy'!$E$47,IF(L110="pelet",R110*'Założenia,wskaźniki, listy'!$F$47,IF(L110="olej opałowy",R110*'Założenia,wskaźniki, listy'!$G$47,IF(L110="sieć ciepłownicza",0,IF(L110="prąd",0,0)))))))</f>
        <v>0</v>
      </c>
      <c r="X110" s="639">
        <f>IF(L110="węgiel",R110*'Założenia,wskaźniki, listy'!$C$48, IF(L110="gaz",R110*'Założenia,wskaźniki, listy'!$D$48,IF(L110="drewno",R110*'Założenia,wskaźniki, listy'!$E$48,IF(L110="pelet",R110*'Założenia,wskaźniki, listy'!$F$48,IF(L110="olej opałowy",R110*'Założenia,wskaźniki, listy'!$G$48,IF(L110="sieć ciepłownicza",0,IF(L110="prąd",0,0)))))))</f>
        <v>0</v>
      </c>
      <c r="Y110" s="639">
        <f>IF(L110="węgiel",R110*'Założenia,wskaźniki, listy'!$C$49, IF(L110="gaz",R110*'Założenia,wskaźniki, listy'!$D$49, IF(L110="drewno",R110*'Założenia,wskaźniki, listy'!$E$49,IF(L110="pelet",R110*'Założenia,wskaźniki, listy'!$F$49,IF(L110="olej opałowy",R110*'Założenia,wskaźniki, listy'!$G$49,IF(L110="sieć ciepłownicza",0,IF(L110="prąd",0,0)))))))</f>
        <v>0</v>
      </c>
      <c r="Z110" s="639">
        <f>IF(L110="węgiel",R110*'Założenia,wskaźniki, listy'!$C$50,IF(L110="gaz",R110*'Założenia,wskaźniki, listy'!$D$50, IF(L110="drewno",R110*'Założenia,wskaźniki, listy'!$E$50,IF(L110="pelet",R110*'Założenia,wskaźniki, listy'!$F$50,IF(L110="pelet",R110*'Założenia,wskaźniki, listy'!$F$50,IF(L110="olej opałowy",R110*'Założenia,wskaźniki, listy'!$G$50,IF(L110="sieć ciepłownicza",0,IF(L110="prąd",0,0))))))))</f>
        <v>0</v>
      </c>
      <c r="AA110" s="639">
        <f>IF(N110="węgiel",Q110*'Założenia,wskaźniki, listy'!$C$44,IF(N110="gaz",Q110*'Założenia,wskaźniki, listy'!$D$44,IF(N110="drewno",Q110*'Założenia,wskaźniki, listy'!$E$44,IF(N110="pelet",Q110*'Założenia,wskaźniki, listy'!$G$44,IF(N110="olej opałowy",Q110*'Założenia,wskaźniki, listy'!$G$44,IF(N110="sieć ciepłownicza",0,IF(N110="prąd",0,0)))))))</f>
        <v>0</v>
      </c>
      <c r="AB110" s="639">
        <f>IF(N110="węgiel",Q110*'Założenia,wskaźniki, listy'!$C$45,IF(N110="gaz",Q110*'Założenia,wskaźniki, listy'!$D$45,IF(N110="drewno",Q110*'Założenia,wskaźniki, listy'!$E$45,IF(N110="pelet",Q110*'Założenia,wskaźniki, listy'!$G$45,IF(N110="olej opałowy",Q110*'Założenia,wskaźniki, listy'!$G$45,IF(N110="sieć ciepłownicza",0,IF(N110="prąd",0,0)))))))</f>
        <v>0</v>
      </c>
      <c r="AC110" s="639">
        <f>IF(N110="węgiel",Q110*'Założenia,wskaźniki, listy'!$C$46,IF(N110="gaz",Q110*'Założenia,wskaźniki, listy'!$D$46,IF(N110="drewno",Q110*'Założenia,wskaźniki, listy'!$E$46,IF(N110="pelet",Q110*'Założenia,wskaźniki, listy'!$G$46,IF(N110="olej opałowy",Q110*'Założenia,wskaźniki, listy'!$G$46,IF(N110="sieć ciepłownicza",0,IF(N110="prąd",0,0)))))))</f>
        <v>0</v>
      </c>
      <c r="AD110" s="639">
        <f>IF(N110="węgiel",Q110*'Założenia,wskaźniki, listy'!$C$47,IF(N110="gaz",Q110*'Założenia,wskaźniki, listy'!$D$47,IF(N110="drewno",Q110*'Założenia,wskaźniki, listy'!$E$47,IF(N110="pelet",Q110*'Założenia,wskaźniki, listy'!$G$47,IF(N110="olej opałowy",Q110*'Założenia,wskaźniki, listy'!$G$47,IF(N110="sieć ciepłownicza",0,IF(N110="prąd",0,0)))))))</f>
        <v>0</v>
      </c>
      <c r="AE110" s="639">
        <f>IF(N110="węgiel",Q110*'Założenia,wskaźniki, listy'!$C$48,IF(N110="gaz",Q110*'Założenia,wskaźniki, listy'!$D$48,IF(N110="drewno",Q110*'Założenia,wskaźniki, listy'!$E$48,IF(N110="pelet",Q110*'Założenia,wskaźniki, listy'!$G$48,IF(N110="olej opałowy",Q110*'Założenia,wskaźniki, listy'!$G$48,IF(N110="sieć ciepłownicza",0,IF(N110="prąd",0,0)))))))</f>
        <v>0</v>
      </c>
      <c r="AF110" s="639">
        <f>IF(N110="węgiel",Q110*'Założenia,wskaźniki, listy'!$C$49,IF(N110="gaz",Q110*'Założenia,wskaźniki, listy'!$D$49,IF(N110="drewno",Q110*'Założenia,wskaźniki, listy'!$E$49,IF(N110="pelet",Q110*'Założenia,wskaźniki, listy'!$G$49,IF(N110="olej opałowy",Q110*'Założenia,wskaźniki, listy'!$G$49,IF(N110="sieć ciepłownicza",0,IF(N110="prąd",0,0)))))))</f>
        <v>0</v>
      </c>
      <c r="AG110" s="639">
        <f>IF(N110="węgiel",Q110*'Założenia,wskaźniki, listy'!$C$50,IF(N110="gaz",Q110*'Założenia,wskaźniki, listy'!$D$50,IF(N110="drewno",Q110*'Założenia,wskaźniki, listy'!$E$50,IF(N110="pelet",Q110*'Założenia,wskaźniki, listy'!$G$50,IF(N110="olej opałowy",Q110*'Założenia,wskaźniki, listy'!$G$50,IF(N110="sieć ciepłownicza",0,IF(N110="prąd",0,0)))))))</f>
        <v>0</v>
      </c>
      <c r="AH110" s="640">
        <f>IF(L110="węgiel",(P110+R110)/2*'Założenia,wskaźniki, listy'!$C$4,IF(L110="gaz",(P110+R110)/2*'Założenia,wskaźniki, listy'!$C$5,IF(L110="drewno",(P110+R110)/2*'Założenia,wskaźniki, listy'!$C$6,IF(L110="pelet",(P110+R110)/2*'Założenia,wskaźniki, listy'!$C$7,IF(L110="olej opałowy",(P110+R110)/2*'Założenia,wskaźniki, listy'!$C$8,IF(L110="sieć ciepłownicza",(P110+R110)/2*'Założenia,wskaźniki, listy'!$C$9,IF(L110="sieć ciepłownicza",(P110+R110)/2*'Założenia,wskaźniki, listy'!$C$10,)))))))</f>
        <v>0</v>
      </c>
      <c r="AI110" s="640">
        <f>IF(N110="węgiel",Q110*'Założenia,wskaźniki, listy'!$C$4,IF(N110="gaz",Q110*'Założenia,wskaźniki, listy'!$C$5,IF(N110="drewno",Q110*'Założenia,wskaźniki, listy'!$C$6,IF(N110="pelet",Q110*'Założenia,wskaźniki, listy'!$C$7,IF(N110="olej opałowy",Q110*'Założenia,wskaźniki, listy'!$C$8,IF(N110="sieć ciepłownicza",Q110*'Założenia,wskaźniki, listy'!$C$9,IF(N110="sieć ciepłownicza",Q110*'Założenia,wskaźniki, listy'!$C$10,0)))))))</f>
        <v>0</v>
      </c>
      <c r="AJ110" s="640">
        <f>S110*'Założenia,wskaźniki, listy'!$B$64*1000</f>
        <v>0</v>
      </c>
      <c r="AK110" s="640">
        <f>(H110+I110)*'Założenia,wskaźniki, listy'!$D$64*12</f>
        <v>0</v>
      </c>
      <c r="AL110" s="640">
        <f>AK110*'Założenia,wskaźniki, listy'!$F$64</f>
        <v>0</v>
      </c>
      <c r="AM110" s="639">
        <f t="shared" si="128"/>
        <v>0</v>
      </c>
      <c r="AN110" s="639">
        <f t="shared" si="129"/>
        <v>0</v>
      </c>
      <c r="AO110" s="639">
        <f>V110+AC110+S110*'Założenia,wskaźniki, listy'!$J$46</f>
        <v>0</v>
      </c>
      <c r="AP110" s="639">
        <f t="shared" si="130"/>
        <v>0</v>
      </c>
      <c r="AQ110" s="639">
        <f t="shared" si="131"/>
        <v>0</v>
      </c>
      <c r="AR110" s="639">
        <f t="shared" si="132"/>
        <v>0</v>
      </c>
      <c r="AS110" s="639">
        <f t="shared" si="133"/>
        <v>0</v>
      </c>
      <c r="AT110" s="647"/>
      <c r="AU110" s="647"/>
      <c r="AV110" s="624">
        <f t="shared" si="135"/>
        <v>0</v>
      </c>
      <c r="AW110" s="624" t="b">
        <f t="shared" si="136"/>
        <v>0</v>
      </c>
      <c r="AX110" s="624" t="b">
        <f t="shared" si="137"/>
        <v>0</v>
      </c>
      <c r="AY110" s="624" t="b">
        <f t="shared" si="138"/>
        <v>0</v>
      </c>
      <c r="AZ110" s="624" t="b">
        <f t="shared" si="139"/>
        <v>0</v>
      </c>
      <c r="BA110" s="624" t="b">
        <f t="shared" si="140"/>
        <v>0</v>
      </c>
      <c r="BB110" s="624" t="b">
        <f t="shared" si="141"/>
        <v>0</v>
      </c>
      <c r="BC110" s="624" t="b">
        <f t="shared" si="142"/>
        <v>0</v>
      </c>
      <c r="BD110" s="624" t="b">
        <f t="shared" si="143"/>
        <v>0</v>
      </c>
      <c r="BE110" s="624" t="b">
        <f t="shared" si="144"/>
        <v>0</v>
      </c>
      <c r="BF110" s="624" t="b">
        <f t="shared" si="145"/>
        <v>0</v>
      </c>
      <c r="BG110" s="624" t="b">
        <f t="shared" si="146"/>
        <v>0</v>
      </c>
      <c r="BH110" s="624" t="b">
        <f t="shared" si="147"/>
        <v>0</v>
      </c>
      <c r="BI110" s="624" t="b">
        <f t="shared" si="148"/>
        <v>0</v>
      </c>
      <c r="BJ110" s="624" t="b">
        <f t="shared" si="149"/>
        <v>0</v>
      </c>
      <c r="BK110" s="624" t="b">
        <f t="shared" si="150"/>
        <v>0</v>
      </c>
      <c r="BL110" s="624" t="b">
        <f t="shared" si="151"/>
        <v>0</v>
      </c>
      <c r="BM110" s="624" t="b">
        <f t="shared" si="152"/>
        <v>0</v>
      </c>
      <c r="BN110" s="624" t="b">
        <f t="shared" si="153"/>
        <v>0</v>
      </c>
      <c r="BO110" s="624" t="b">
        <f t="shared" si="154"/>
        <v>0</v>
      </c>
      <c r="BP110" s="624" t="b">
        <f t="shared" si="155"/>
        <v>0</v>
      </c>
      <c r="BQ110" s="624" t="b">
        <f t="shared" si="156"/>
        <v>0</v>
      </c>
    </row>
    <row r="111" spans="1:69">
      <c r="A111" s="1086">
        <v>54</v>
      </c>
      <c r="B111" s="872" t="s">
        <v>21</v>
      </c>
      <c r="C111" s="873" t="s">
        <v>634</v>
      </c>
      <c r="D111" s="645"/>
      <c r="E111" s="645">
        <v>8</v>
      </c>
      <c r="F111" s="872">
        <v>1953</v>
      </c>
      <c r="G111" s="872">
        <v>70</v>
      </c>
      <c r="H111" s="872"/>
      <c r="I111" s="873"/>
      <c r="J111" s="872">
        <f>IF(F111&lt;=1966,'Założenia,wskaźniki, listy'!$H$4,IF(F111&gt;1966,IF(F111&lt;=1985,'Założenia,wskaźniki, listy'!$H$5,IF(F111&gt;1985,IF(F111&lt;=1992,'Założenia,wskaźniki, listy'!$H$6,IF(F111&gt;1992,IF(F111&lt;=1996,'Założenia,wskaźniki, listy'!$H$7,IF(F111&gt;1996,IF(F111&lt;=2015,'Założenia,wskaźniki, listy'!$H$8)))))))))</f>
        <v>290</v>
      </c>
      <c r="K111" s="864" t="s">
        <v>31</v>
      </c>
      <c r="L111" s="872" t="s">
        <v>8</v>
      </c>
      <c r="M111" s="872">
        <v>2</v>
      </c>
      <c r="N111" s="644"/>
      <c r="O111" s="637">
        <f t="shared" si="134"/>
        <v>59.15</v>
      </c>
      <c r="P111" s="646">
        <f>IF(K111="kompletna",J111*G111*0.0036*'Założenia,wskaźniki, listy'!$P$9,IF(K111="częściowa",J111*G111*0.0036*'Założenia,wskaźniki, listy'!$P$10,IF(K111="brak",J111*G111*0.0036*'Założenia,wskaźniki, listy'!$P$11,0)))</f>
        <v>73.08</v>
      </c>
      <c r="Q111" s="638">
        <f>H111*'Założenia,wskaźniki, listy'!$L$15</f>
        <v>0</v>
      </c>
      <c r="R111" s="635">
        <f>IF(L111="węgiel",'Mieszkalne - baza'!M111*'Założenia,wskaźniki, listy'!$B$4,IF(L111="gaz",'Mieszkalne - baza'!M111*'Założenia,wskaźniki, listy'!$B$5,IF(L111="drewno",'Mieszkalne - baza'!M111*'Założenia,wskaźniki, listy'!$B$6,IF(L111="pelet",'Mieszkalne - baza'!M111*'Założenia,wskaźniki, listy'!$B$7,IF(L111="olej opałowy",'Mieszkalne - baza'!M111*'Założenia,wskaźniki, listy'!$B$8,IF(L111="sieć ciepłownicza",0,0))))))</f>
        <v>45.22</v>
      </c>
      <c r="S111" s="1084">
        <v>2.2560000000000002</v>
      </c>
      <c r="T111" s="639">
        <f>IF(L111="węgiel",R111*'Założenia,wskaźniki, listy'!$C$44,IF(L111="gaz",R111*'Założenia,wskaźniki, listy'!$D$44,IF(L111="drewno",R111*'Założenia,wskaźniki, listy'!$E$44,IF(L111="pelet",R111*'Założenia,wskaźniki, listy'!$F$44,IF(L111="olej opałowy",R111*'Założenia,wskaźniki, listy'!$G$44,IF(L111="sieć ciepłownicza",0,IF(L111="prąd",0,0)))))))</f>
        <v>1.01745E-2</v>
      </c>
      <c r="U111" s="639">
        <f>IF(L111="węgiel",R111*'Założenia,wskaźniki, listy'!$C$45,IF(L111="gaz",R111*'Założenia,wskaźniki, listy'!$D$45,IF(L111="drewno",R111*'Założenia,wskaźniki, listy'!$E$45,IF(L111="pelet",R111*'Założenia,wskaźniki, listy'!$F$45,IF(L111="olej opałowy",R111*'Założenia,wskaźniki, listy'!$G$45,IF(L111="sieć ciepłownicza",0,IF(L111="prąd",0,0)))))))</f>
        <v>9.0892200000000003E-3</v>
      </c>
      <c r="V111" s="639">
        <f>IF(L111="węgiel",R111*'Założenia,wskaźniki, listy'!$C$46,IF(L111="gaz",R111*'Założenia,wskaźniki, listy'!$D$46,IF(L111="drewno",R111*'Założenia,wskaźniki, listy'!$E$46,IF(L111="pelet",R111*'Założenia,wskaźniki, listy'!$F$46,IF(L111="olej opałowy",R111*'Założenia,wskaźniki, listy'!$G$46,IF(L111="sieć ciepłownicza",R111*'Założenia,wskaźniki, listy'!$H$46,IF(L111="prąd",R111*'Założenia,wskaźniki, listy'!$I$46,0)))))))</f>
        <v>4.2389227999999992</v>
      </c>
      <c r="W111" s="639">
        <f>IF(L111="węgiel",R111*'Założenia,wskaźniki, listy'!$C$47,IF(L111="gaz",R111*'Założenia,wskaźniki, listy'!$D$47,IF(L111="drewno",R111*'Założenia,wskaźniki, listy'!$E$47,IF(L111="pelet",R111*'Założenia,wskaźniki, listy'!$F$47,IF(L111="olej opałowy",R111*'Założenia,wskaźniki, listy'!$G$47,IF(L111="sieć ciepłownicza",0,IF(L111="prąd",0,0)))))))</f>
        <v>1.22094E-5</v>
      </c>
      <c r="X111" s="639">
        <f>IF(L111="węgiel",R111*'Założenia,wskaźniki, listy'!$C$48, IF(L111="gaz",R111*'Założenia,wskaźniki, listy'!$D$48,IF(L111="drewno",R111*'Założenia,wskaźniki, listy'!$E$48,IF(L111="pelet",R111*'Założenia,wskaźniki, listy'!$F$48,IF(L111="olej opałowy",R111*'Założenia,wskaźniki, listy'!$G$48,IF(L111="sieć ciepłownicza",0,IF(L111="prąd",0,0)))))))</f>
        <v>4.0697999999999998E-2</v>
      </c>
      <c r="Y111" s="639">
        <f>IF(L111="węgiel",R111*'Założenia,wskaźniki, listy'!$C$49, IF(L111="gaz",R111*'Założenia,wskaźniki, listy'!$D$49, IF(L111="drewno",R111*'Założenia,wskaźniki, listy'!$E$49,IF(L111="pelet",R111*'Założenia,wskaźniki, listy'!$F$49,IF(L111="olej opałowy",R111*'Założenia,wskaźniki, listy'!$G$49,IF(L111="sieć ciepłownicza",0,IF(L111="prąd",0,0)))))))</f>
        <v>7.1447599999999991E-3</v>
      </c>
      <c r="Z111" s="639">
        <f>IF(L111="węgiel",R111*'Założenia,wskaźniki, listy'!$C$50,IF(L111="gaz",R111*'Założenia,wskaźniki, listy'!$D$50, IF(L111="drewno",R111*'Założenia,wskaźniki, listy'!$E$50,IF(L111="pelet",R111*'Założenia,wskaźniki, listy'!$F$50,IF(L111="pelet",R111*'Założenia,wskaźniki, listy'!$F$50,IF(L111="olej opałowy",R111*'Założenia,wskaźniki, listy'!$G$50,IF(L111="sieć ciepłownicza",0,IF(L111="prąd",0,0))))))))</f>
        <v>9.0965578900312913E-2</v>
      </c>
      <c r="AA111" s="639">
        <f>IF(N111="węgiel",Q111*'Założenia,wskaźniki, listy'!$C$44,IF(N111="gaz",Q111*'Założenia,wskaźniki, listy'!$D$44,IF(N111="drewno",Q111*'Założenia,wskaźniki, listy'!$E$44,IF(N111="pelet",Q111*'Założenia,wskaźniki, listy'!$G$44,IF(N111="olej opałowy",Q111*'Założenia,wskaźniki, listy'!$G$44,IF(N111="sieć ciepłownicza",0,IF(N111="prąd",0,0)))))))</f>
        <v>0</v>
      </c>
      <c r="AB111" s="639">
        <f>IF(N111="węgiel",Q111*'Założenia,wskaźniki, listy'!$C$45,IF(N111="gaz",Q111*'Założenia,wskaźniki, listy'!$D$45,IF(N111="drewno",Q111*'Założenia,wskaźniki, listy'!$E$45,IF(N111="pelet",Q111*'Założenia,wskaźniki, listy'!$G$45,IF(N111="olej opałowy",Q111*'Założenia,wskaźniki, listy'!$G$45,IF(N111="sieć ciepłownicza",0,IF(N111="prąd",0,0)))))))</f>
        <v>0</v>
      </c>
      <c r="AC111" s="639">
        <f>IF(N111="węgiel",Q111*'Założenia,wskaźniki, listy'!$C$46,IF(N111="gaz",Q111*'Założenia,wskaźniki, listy'!$D$46,IF(N111="drewno",Q111*'Założenia,wskaźniki, listy'!$E$46,IF(N111="pelet",Q111*'Założenia,wskaźniki, listy'!$G$46,IF(N111="olej opałowy",Q111*'Założenia,wskaźniki, listy'!$G$46,IF(N111="sieć ciepłownicza",0,IF(N111="prąd",0,0)))))))</f>
        <v>0</v>
      </c>
      <c r="AD111" s="639">
        <f>IF(N111="węgiel",Q111*'Założenia,wskaźniki, listy'!$C$47,IF(N111="gaz",Q111*'Założenia,wskaźniki, listy'!$D$47,IF(N111="drewno",Q111*'Założenia,wskaźniki, listy'!$E$47,IF(N111="pelet",Q111*'Założenia,wskaźniki, listy'!$G$47,IF(N111="olej opałowy",Q111*'Założenia,wskaźniki, listy'!$G$47,IF(N111="sieć ciepłownicza",0,IF(N111="prąd",0,0)))))))</f>
        <v>0</v>
      </c>
      <c r="AE111" s="639">
        <f>IF(N111="węgiel",Q111*'Założenia,wskaźniki, listy'!$C$48,IF(N111="gaz",Q111*'Założenia,wskaźniki, listy'!$D$48,IF(N111="drewno",Q111*'Założenia,wskaźniki, listy'!$E$48,IF(N111="pelet",Q111*'Założenia,wskaźniki, listy'!$G$48,IF(N111="olej opałowy",Q111*'Założenia,wskaźniki, listy'!$G$48,IF(N111="sieć ciepłownicza",0,IF(N111="prąd",0,0)))))))</f>
        <v>0</v>
      </c>
      <c r="AF111" s="639">
        <f>IF(N111="węgiel",Q111*'Założenia,wskaźniki, listy'!$C$49,IF(N111="gaz",Q111*'Założenia,wskaźniki, listy'!$D$49,IF(N111="drewno",Q111*'Założenia,wskaźniki, listy'!$E$49,IF(N111="pelet",Q111*'Założenia,wskaźniki, listy'!$G$49,IF(N111="olej opałowy",Q111*'Założenia,wskaźniki, listy'!$G$49,IF(N111="sieć ciepłownicza",0,IF(N111="prąd",0,0)))))))</f>
        <v>0</v>
      </c>
      <c r="AG111" s="639">
        <f>IF(N111="węgiel",Q111*'Założenia,wskaźniki, listy'!$C$50,IF(N111="gaz",Q111*'Założenia,wskaźniki, listy'!$D$50,IF(N111="drewno",Q111*'Założenia,wskaźniki, listy'!$E$50,IF(N111="pelet",Q111*'Założenia,wskaźniki, listy'!$G$50,IF(N111="olej opałowy",Q111*'Założenia,wskaźniki, listy'!$G$50,IF(N111="sieć ciepłownicza",0,IF(N111="prąd",0,0)))))))</f>
        <v>0</v>
      </c>
      <c r="AH111" s="640">
        <f>IF(L111="węgiel",(P111+R111)/2*'Założenia,wskaźniki, listy'!$C$4,IF(L111="gaz",(P111+R111)/2*'Założenia,wskaźniki, listy'!$C$5,IF(L111="drewno",(P111+R111)/2*'Założenia,wskaźniki, listy'!$C$6,IF(L111="pelet",(P111+R111)/2*'Założenia,wskaźniki, listy'!$C$7,IF(L111="olej opałowy",(P111+R111)/2*'Założenia,wskaźniki, listy'!$C$8,IF(L111="sieć ciepłownicza",(P111+R111)/2*'Założenia,wskaźniki, listy'!$C$9,IF(L111="sieć ciepłownicza",(P111+R111)/2*'Założenia,wskaźniki, listy'!$C$10,)))))))</f>
        <v>2425.15</v>
      </c>
      <c r="AI111" s="640">
        <f>IF(N111="węgiel",Q111*'Założenia,wskaźniki, listy'!$C$4,IF(N111="gaz",Q111*'Założenia,wskaźniki, listy'!$C$5,IF(N111="drewno",Q111*'Założenia,wskaźniki, listy'!$C$6,IF(N111="pelet",Q111*'Założenia,wskaźniki, listy'!$C$7,IF(N111="olej opałowy",Q111*'Założenia,wskaźniki, listy'!$C$8,IF(N111="sieć ciepłownicza",Q111*'Założenia,wskaźniki, listy'!$C$9,IF(N111="sieć ciepłownicza",Q111*'Założenia,wskaźniki, listy'!$C$10,0)))))))</f>
        <v>0</v>
      </c>
      <c r="AJ111" s="640">
        <f>S111*'Założenia,wskaźniki, listy'!$B$64*1000</f>
        <v>1601.76</v>
      </c>
      <c r="AK111" s="640">
        <f>(H111+I111)*'Założenia,wskaźniki, listy'!$D$64*12</f>
        <v>0</v>
      </c>
      <c r="AL111" s="640">
        <f>AK111*'Założenia,wskaźniki, listy'!$F$64</f>
        <v>0</v>
      </c>
      <c r="AM111" s="639">
        <f t="shared" si="128"/>
        <v>1.01745E-2</v>
      </c>
      <c r="AN111" s="639">
        <f t="shared" si="129"/>
        <v>9.0892200000000003E-3</v>
      </c>
      <c r="AO111" s="639">
        <f>V111+AC111+S111*'Założenia,wskaźniki, listy'!$J$46</f>
        <v>6.1147867999999992</v>
      </c>
      <c r="AP111" s="639">
        <f t="shared" si="130"/>
        <v>1.22094E-5</v>
      </c>
      <c r="AQ111" s="639">
        <f t="shared" si="131"/>
        <v>4.0697999999999998E-2</v>
      </c>
      <c r="AR111" s="639">
        <f t="shared" si="132"/>
        <v>7.1447599999999991E-3</v>
      </c>
      <c r="AS111" s="639">
        <f t="shared" si="133"/>
        <v>9.0965578900312913E-2</v>
      </c>
      <c r="AT111" s="647"/>
      <c r="AU111" s="647"/>
      <c r="AV111" s="624">
        <f t="shared" si="135"/>
        <v>70</v>
      </c>
      <c r="AW111" s="624" t="b">
        <f t="shared" si="136"/>
        <v>0</v>
      </c>
      <c r="AX111" s="624" t="b">
        <f t="shared" si="137"/>
        <v>0</v>
      </c>
      <c r="AY111" s="624" t="b">
        <f t="shared" si="138"/>
        <v>0</v>
      </c>
      <c r="AZ111" s="624" t="b">
        <f t="shared" si="139"/>
        <v>0</v>
      </c>
      <c r="BA111" s="624" t="b">
        <f t="shared" si="140"/>
        <v>0</v>
      </c>
      <c r="BB111" s="624" t="b">
        <f t="shared" si="141"/>
        <v>0</v>
      </c>
      <c r="BC111" s="624" t="b">
        <f t="shared" si="142"/>
        <v>0</v>
      </c>
      <c r="BD111" s="624" t="b">
        <f t="shared" si="143"/>
        <v>0</v>
      </c>
      <c r="BE111" s="624" t="b">
        <f t="shared" si="144"/>
        <v>0</v>
      </c>
      <c r="BF111" s="624">
        <f t="shared" si="145"/>
        <v>45.22</v>
      </c>
      <c r="BG111" s="624" t="b">
        <f t="shared" si="146"/>
        <v>0</v>
      </c>
      <c r="BH111" s="624" t="b">
        <f t="shared" si="147"/>
        <v>0</v>
      </c>
      <c r="BI111" s="624" t="b">
        <f t="shared" si="148"/>
        <v>0</v>
      </c>
      <c r="BJ111" s="624" t="b">
        <f t="shared" si="149"/>
        <v>0</v>
      </c>
      <c r="BK111" s="624" t="b">
        <f t="shared" si="150"/>
        <v>0</v>
      </c>
      <c r="BL111" s="624" t="b">
        <f t="shared" si="151"/>
        <v>0</v>
      </c>
      <c r="BM111" s="624" t="b">
        <f t="shared" si="152"/>
        <v>0</v>
      </c>
      <c r="BN111" s="624" t="b">
        <f t="shared" si="153"/>
        <v>0</v>
      </c>
      <c r="BO111" s="624" t="b">
        <f t="shared" si="154"/>
        <v>0</v>
      </c>
      <c r="BP111" s="624" t="b">
        <f t="shared" si="155"/>
        <v>0</v>
      </c>
      <c r="BQ111" s="624" t="b">
        <f t="shared" si="156"/>
        <v>0</v>
      </c>
    </row>
    <row r="112" spans="1:69">
      <c r="A112" s="1087"/>
      <c r="B112" s="872"/>
      <c r="C112" s="872"/>
      <c r="D112" s="645"/>
      <c r="E112" s="645"/>
      <c r="F112" s="872"/>
      <c r="G112" s="872"/>
      <c r="H112" s="872"/>
      <c r="I112" s="873"/>
      <c r="J112" s="872">
        <f>IF(F112&lt;=1966,'Założenia,wskaźniki, listy'!$H$4,IF(F112&gt;1966,IF(F112&lt;=1985,'Założenia,wskaźniki, listy'!$H$5,IF(F112&gt;1985,IF(F112&lt;=1992,'Założenia,wskaźniki, listy'!$H$6,IF(F112&gt;1992,IF(F112&lt;=1996,'Założenia,wskaźniki, listy'!$H$7,IF(F112&gt;1996,IF(F112&lt;=2015,'Założenia,wskaźniki, listy'!$H$8)))))))))</f>
        <v>290</v>
      </c>
      <c r="K112" s="864"/>
      <c r="L112" s="872"/>
      <c r="M112" s="872"/>
      <c r="N112" s="644"/>
      <c r="O112" s="637">
        <f t="shared" si="134"/>
        <v>0</v>
      </c>
      <c r="P112" s="646">
        <f>IF(K112="kompletna",J112*G112*0.0036*'Założenia,wskaźniki, listy'!$P$9,IF(K112="częściowa",J112*G112*0.0036*'Założenia,wskaźniki, listy'!$P$10,IF(K112="brak",J112*G112*0.0036*'Założenia,wskaźniki, listy'!$P$11,0)))</f>
        <v>0</v>
      </c>
      <c r="Q112" s="638">
        <f>H112*'Założenia,wskaźniki, listy'!$L$15</f>
        <v>0</v>
      </c>
      <c r="R112" s="635">
        <f>IF(L112="węgiel",'Mieszkalne - baza'!M112*'Założenia,wskaźniki, listy'!$B$4,IF(L112="gaz",'Mieszkalne - baza'!M112*'Założenia,wskaźniki, listy'!$B$5,IF(L112="drewno",'Mieszkalne - baza'!M112*'Założenia,wskaźniki, listy'!$B$6,IF(L112="pelet",'Mieszkalne - baza'!M112*'Założenia,wskaźniki, listy'!$B$7,IF(L112="olej opałowy",'Mieszkalne - baza'!M112*'Założenia,wskaźniki, listy'!$B$8,IF(L112="sieć ciepłownicza",0,0))))))</f>
        <v>0</v>
      </c>
      <c r="S112" s="1085"/>
      <c r="T112" s="639">
        <f>IF(L112="węgiel",R112*'Założenia,wskaźniki, listy'!$C$44,IF(L112="gaz",R112*'Założenia,wskaźniki, listy'!$D$44,IF(L112="drewno",R112*'Założenia,wskaźniki, listy'!$E$44,IF(L112="pelet",R112*'Założenia,wskaźniki, listy'!$F$44,IF(L112="olej opałowy",R112*'Założenia,wskaźniki, listy'!$G$44,IF(L112="sieć ciepłownicza",0,IF(L112="prąd",0,0)))))))</f>
        <v>0</v>
      </c>
      <c r="U112" s="639">
        <f>IF(L112="węgiel",R112*'Założenia,wskaźniki, listy'!$C$45,IF(L112="gaz",R112*'Założenia,wskaźniki, listy'!$D$45,IF(L112="drewno",R112*'Założenia,wskaźniki, listy'!$E$45,IF(L112="pelet",R112*'Założenia,wskaźniki, listy'!$F$45,IF(L112="olej opałowy",R112*'Założenia,wskaźniki, listy'!$G$45,IF(L112="sieć ciepłownicza",0,IF(L112="prąd",0,0)))))))</f>
        <v>0</v>
      </c>
      <c r="V112" s="639">
        <f>IF(L112="węgiel",R112*'Założenia,wskaźniki, listy'!$C$46,IF(L112="gaz",R112*'Założenia,wskaźniki, listy'!$D$46,IF(L112="drewno",R112*'Założenia,wskaźniki, listy'!$E$46,IF(L112="pelet",R112*'Założenia,wskaźniki, listy'!$F$46,IF(L112="olej opałowy",R112*'Założenia,wskaźniki, listy'!$G$46,IF(L112="sieć ciepłownicza",R112*'Założenia,wskaźniki, listy'!$H$46,IF(L112="prąd",R112*'Założenia,wskaźniki, listy'!$I$46,0)))))))</f>
        <v>0</v>
      </c>
      <c r="W112" s="639">
        <f>IF(L112="węgiel",R112*'Założenia,wskaźniki, listy'!$C$47,IF(L112="gaz",R112*'Założenia,wskaźniki, listy'!$D$47,IF(L112="drewno",R112*'Założenia,wskaźniki, listy'!$E$47,IF(L112="pelet",R112*'Założenia,wskaźniki, listy'!$F$47,IF(L112="olej opałowy",R112*'Założenia,wskaźniki, listy'!$G$47,IF(L112="sieć ciepłownicza",0,IF(L112="prąd",0,0)))))))</f>
        <v>0</v>
      </c>
      <c r="X112" s="639">
        <f>IF(L112="węgiel",R112*'Założenia,wskaźniki, listy'!$C$48, IF(L112="gaz",R112*'Założenia,wskaźniki, listy'!$D$48,IF(L112="drewno",R112*'Założenia,wskaźniki, listy'!$E$48,IF(L112="pelet",R112*'Założenia,wskaźniki, listy'!$F$48,IF(L112="olej opałowy",R112*'Założenia,wskaźniki, listy'!$G$48,IF(L112="sieć ciepłownicza",0,IF(L112="prąd",0,0)))))))</f>
        <v>0</v>
      </c>
      <c r="Y112" s="639">
        <f>IF(L112="węgiel",R112*'Założenia,wskaźniki, listy'!$C$49, IF(L112="gaz",R112*'Założenia,wskaźniki, listy'!$D$49, IF(L112="drewno",R112*'Założenia,wskaźniki, listy'!$E$49,IF(L112="pelet",R112*'Założenia,wskaźniki, listy'!$F$49,IF(L112="olej opałowy",R112*'Założenia,wskaźniki, listy'!$G$49,IF(L112="sieć ciepłownicza",0,IF(L112="prąd",0,0)))))))</f>
        <v>0</v>
      </c>
      <c r="Z112" s="639">
        <f>IF(L112="węgiel",R112*'Założenia,wskaźniki, listy'!$C$50,IF(L112="gaz",R112*'Założenia,wskaźniki, listy'!$D$50, IF(L112="drewno",R112*'Założenia,wskaźniki, listy'!$E$50,IF(L112="pelet",R112*'Założenia,wskaźniki, listy'!$F$50,IF(L112="pelet",R112*'Założenia,wskaźniki, listy'!$F$50,IF(L112="olej opałowy",R112*'Założenia,wskaźniki, listy'!$G$50,IF(L112="sieć ciepłownicza",0,IF(L112="prąd",0,0))))))))</f>
        <v>0</v>
      </c>
      <c r="AA112" s="639">
        <f>IF(N112="węgiel",Q112*'Założenia,wskaźniki, listy'!$C$44,IF(N112="gaz",Q112*'Założenia,wskaźniki, listy'!$D$44,IF(N112="drewno",Q112*'Założenia,wskaźniki, listy'!$E$44,IF(N112="pelet",Q112*'Założenia,wskaźniki, listy'!$G$44,IF(N112="olej opałowy",Q112*'Założenia,wskaźniki, listy'!$G$44,IF(N112="sieć ciepłownicza",0,IF(N112="prąd",0,0)))))))</f>
        <v>0</v>
      </c>
      <c r="AB112" s="639">
        <f>IF(N112="węgiel",Q112*'Założenia,wskaźniki, listy'!$C$45,IF(N112="gaz",Q112*'Założenia,wskaźniki, listy'!$D$45,IF(N112="drewno",Q112*'Założenia,wskaźniki, listy'!$E$45,IF(N112="pelet",Q112*'Założenia,wskaźniki, listy'!$G$45,IF(N112="olej opałowy",Q112*'Założenia,wskaźniki, listy'!$G$45,IF(N112="sieć ciepłownicza",0,IF(N112="prąd",0,0)))))))</f>
        <v>0</v>
      </c>
      <c r="AC112" s="639">
        <f>IF(N112="węgiel",Q112*'Założenia,wskaźniki, listy'!$C$46,IF(N112="gaz",Q112*'Założenia,wskaźniki, listy'!$D$46,IF(N112="drewno",Q112*'Założenia,wskaźniki, listy'!$E$46,IF(N112="pelet",Q112*'Założenia,wskaźniki, listy'!$G$46,IF(N112="olej opałowy",Q112*'Założenia,wskaźniki, listy'!$G$46,IF(N112="sieć ciepłownicza",0,IF(N112="prąd",0,0)))))))</f>
        <v>0</v>
      </c>
      <c r="AD112" s="639">
        <f>IF(N112="węgiel",Q112*'Założenia,wskaźniki, listy'!$C$47,IF(N112="gaz",Q112*'Założenia,wskaźniki, listy'!$D$47,IF(N112="drewno",Q112*'Założenia,wskaźniki, listy'!$E$47,IF(N112="pelet",Q112*'Założenia,wskaźniki, listy'!$G$47,IF(N112="olej opałowy",Q112*'Założenia,wskaźniki, listy'!$G$47,IF(N112="sieć ciepłownicza",0,IF(N112="prąd",0,0)))))))</f>
        <v>0</v>
      </c>
      <c r="AE112" s="639">
        <f>IF(N112="węgiel",Q112*'Założenia,wskaźniki, listy'!$C$48,IF(N112="gaz",Q112*'Założenia,wskaźniki, listy'!$D$48,IF(N112="drewno",Q112*'Założenia,wskaźniki, listy'!$E$48,IF(N112="pelet",Q112*'Założenia,wskaźniki, listy'!$G$48,IF(N112="olej opałowy",Q112*'Założenia,wskaźniki, listy'!$G$48,IF(N112="sieć ciepłownicza",0,IF(N112="prąd",0,0)))))))</f>
        <v>0</v>
      </c>
      <c r="AF112" s="639">
        <f>IF(N112="węgiel",Q112*'Założenia,wskaźniki, listy'!$C$49,IF(N112="gaz",Q112*'Założenia,wskaźniki, listy'!$D$49,IF(N112="drewno",Q112*'Założenia,wskaźniki, listy'!$E$49,IF(N112="pelet",Q112*'Założenia,wskaźniki, listy'!$G$49,IF(N112="olej opałowy",Q112*'Założenia,wskaźniki, listy'!$G$49,IF(N112="sieć ciepłownicza",0,IF(N112="prąd",0,0)))))))</f>
        <v>0</v>
      </c>
      <c r="AG112" s="639">
        <f>IF(N112="węgiel",Q112*'Założenia,wskaźniki, listy'!$C$50,IF(N112="gaz",Q112*'Założenia,wskaźniki, listy'!$D$50,IF(N112="drewno",Q112*'Założenia,wskaźniki, listy'!$E$50,IF(N112="pelet",Q112*'Założenia,wskaźniki, listy'!$G$50,IF(N112="olej opałowy",Q112*'Założenia,wskaźniki, listy'!$G$50,IF(N112="sieć ciepłownicza",0,IF(N112="prąd",0,0)))))))</f>
        <v>0</v>
      </c>
      <c r="AH112" s="640">
        <f>IF(L112="węgiel",(P112+R112)/2*'Założenia,wskaźniki, listy'!$C$4,IF(L112="gaz",(P112+R112)/2*'Założenia,wskaźniki, listy'!$C$5,IF(L112="drewno",(P112+R112)/2*'Założenia,wskaźniki, listy'!$C$6,IF(L112="pelet",(P112+R112)/2*'Założenia,wskaźniki, listy'!$C$7,IF(L112="olej opałowy",(P112+R112)/2*'Założenia,wskaźniki, listy'!$C$8,IF(L112="sieć ciepłownicza",(P112+R112)/2*'Założenia,wskaźniki, listy'!$C$9,IF(L112="sieć ciepłownicza",(P112+R112)/2*'Założenia,wskaźniki, listy'!$C$10,)))))))</f>
        <v>0</v>
      </c>
      <c r="AI112" s="640">
        <f>IF(N112="węgiel",Q112*'Założenia,wskaźniki, listy'!$C$4,IF(N112="gaz",Q112*'Założenia,wskaźniki, listy'!$C$5,IF(N112="drewno",Q112*'Założenia,wskaźniki, listy'!$C$6,IF(N112="pelet",Q112*'Założenia,wskaźniki, listy'!$C$7,IF(N112="olej opałowy",Q112*'Założenia,wskaźniki, listy'!$C$8,IF(N112="sieć ciepłownicza",Q112*'Założenia,wskaźniki, listy'!$C$9,IF(N112="sieć ciepłownicza",Q112*'Założenia,wskaźniki, listy'!$C$10,0)))))))</f>
        <v>0</v>
      </c>
      <c r="AJ112" s="640">
        <f>S112*'Założenia,wskaźniki, listy'!$B$64*1000</f>
        <v>0</v>
      </c>
      <c r="AK112" s="640">
        <f>(H112+I112)*'Założenia,wskaźniki, listy'!$D$64*12</f>
        <v>0</v>
      </c>
      <c r="AL112" s="640">
        <f>AK112*'Założenia,wskaźniki, listy'!$F$64</f>
        <v>0</v>
      </c>
      <c r="AM112" s="639">
        <f t="shared" si="128"/>
        <v>0</v>
      </c>
      <c r="AN112" s="639">
        <f t="shared" si="129"/>
        <v>0</v>
      </c>
      <c r="AO112" s="639">
        <f>V112+AC112+S112*'Założenia,wskaźniki, listy'!$J$46</f>
        <v>0</v>
      </c>
      <c r="AP112" s="639">
        <f t="shared" si="130"/>
        <v>0</v>
      </c>
      <c r="AQ112" s="639">
        <f t="shared" si="131"/>
        <v>0</v>
      </c>
      <c r="AR112" s="639">
        <f t="shared" si="132"/>
        <v>0</v>
      </c>
      <c r="AS112" s="639">
        <f t="shared" si="133"/>
        <v>0</v>
      </c>
      <c r="AT112" s="647"/>
      <c r="AU112" s="647"/>
      <c r="AV112" s="624">
        <f t="shared" si="135"/>
        <v>0</v>
      </c>
      <c r="AW112" s="624" t="b">
        <f t="shared" si="136"/>
        <v>0</v>
      </c>
      <c r="AX112" s="624" t="b">
        <f t="shared" si="137"/>
        <v>0</v>
      </c>
      <c r="AY112" s="624" t="b">
        <f t="shared" si="138"/>
        <v>0</v>
      </c>
      <c r="AZ112" s="624" t="b">
        <f t="shared" si="139"/>
        <v>0</v>
      </c>
      <c r="BA112" s="624" t="b">
        <f t="shared" si="140"/>
        <v>0</v>
      </c>
      <c r="BB112" s="624" t="b">
        <f t="shared" si="141"/>
        <v>0</v>
      </c>
      <c r="BC112" s="624" t="b">
        <f t="shared" si="142"/>
        <v>0</v>
      </c>
      <c r="BD112" s="624" t="b">
        <f t="shared" si="143"/>
        <v>0</v>
      </c>
      <c r="BE112" s="624" t="b">
        <f t="shared" si="144"/>
        <v>0</v>
      </c>
      <c r="BF112" s="624" t="b">
        <f t="shared" si="145"/>
        <v>0</v>
      </c>
      <c r="BG112" s="624" t="b">
        <f t="shared" si="146"/>
        <v>0</v>
      </c>
      <c r="BH112" s="624" t="b">
        <f t="shared" si="147"/>
        <v>0</v>
      </c>
      <c r="BI112" s="624" t="b">
        <f t="shared" si="148"/>
        <v>0</v>
      </c>
      <c r="BJ112" s="624" t="b">
        <f t="shared" si="149"/>
        <v>0</v>
      </c>
      <c r="BK112" s="624" t="b">
        <f t="shared" si="150"/>
        <v>0</v>
      </c>
      <c r="BL112" s="624" t="b">
        <f t="shared" si="151"/>
        <v>0</v>
      </c>
      <c r="BM112" s="624" t="b">
        <f t="shared" si="152"/>
        <v>0</v>
      </c>
      <c r="BN112" s="624" t="b">
        <f t="shared" si="153"/>
        <v>0</v>
      </c>
      <c r="BO112" s="624" t="b">
        <f t="shared" si="154"/>
        <v>0</v>
      </c>
      <c r="BP112" s="624" t="b">
        <f t="shared" si="155"/>
        <v>0</v>
      </c>
      <c r="BQ112" s="624" t="b">
        <f t="shared" si="156"/>
        <v>0</v>
      </c>
    </row>
    <row r="113" spans="1:69">
      <c r="A113" s="1086">
        <v>55</v>
      </c>
      <c r="B113" s="872" t="s">
        <v>21</v>
      </c>
      <c r="C113" s="873" t="s">
        <v>634</v>
      </c>
      <c r="D113" s="645"/>
      <c r="E113" s="645">
        <v>9</v>
      </c>
      <c r="F113" s="644">
        <v>1956</v>
      </c>
      <c r="G113" s="644">
        <v>50</v>
      </c>
      <c r="H113" s="644"/>
      <c r="I113" s="635"/>
      <c r="J113" s="644">
        <f>IF(F113&lt;=1966,'Założenia,wskaźniki, listy'!$H$4,IF(F113&gt;1966,IF(F113&lt;=1985,'Założenia,wskaźniki, listy'!$H$5,IF(F113&gt;1985,IF(F113&lt;=1992,'Założenia,wskaźniki, listy'!$H$6,IF(F113&gt;1992,IF(F113&lt;=1996,'Założenia,wskaźniki, listy'!$H$7,IF(F113&gt;1996,IF(F113&lt;=2015,'Założenia,wskaźniki, listy'!$H$8)))))))))</f>
        <v>290</v>
      </c>
      <c r="K113" s="864" t="s">
        <v>33</v>
      </c>
      <c r="L113" s="872" t="s">
        <v>8</v>
      </c>
      <c r="M113" s="872">
        <v>2</v>
      </c>
      <c r="N113" s="644"/>
      <c r="O113" s="637">
        <f t="shared" si="134"/>
        <v>43.489999999999995</v>
      </c>
      <c r="P113" s="646">
        <f>IF(K113="kompletna",J113*G113*0.0036*'Założenia,wskaźniki, listy'!$P$9,IF(K113="częściowa",J113*G113*0.0036*'Założenia,wskaźniki, listy'!$P$10,IF(K113="brak",J113*G113*0.0036*'Założenia,wskaźniki, listy'!$P$11,0)))</f>
        <v>41.76</v>
      </c>
      <c r="Q113" s="638">
        <f>H113*'Założenia,wskaźniki, listy'!$L$15</f>
        <v>0</v>
      </c>
      <c r="R113" s="635">
        <f>IF(L113="węgiel",'Mieszkalne - baza'!M113*'Założenia,wskaźniki, listy'!$B$4,IF(L113="gaz",'Mieszkalne - baza'!M113*'Założenia,wskaźniki, listy'!$B$5,IF(L113="drewno",'Mieszkalne - baza'!M113*'Założenia,wskaźniki, listy'!$B$6,IF(L113="pelet",'Mieszkalne - baza'!M113*'Założenia,wskaźniki, listy'!$B$7,IF(L113="olej opałowy",'Mieszkalne - baza'!M113*'Założenia,wskaźniki, listy'!$B$8,IF(L113="sieć ciepłownicza",0,0))))))</f>
        <v>45.22</v>
      </c>
      <c r="S113" s="1084">
        <v>1.6919999999999999</v>
      </c>
      <c r="T113" s="639">
        <f>IF(L113="węgiel",R113*'Założenia,wskaźniki, listy'!$C$44,IF(L113="gaz",R113*'Założenia,wskaźniki, listy'!$D$44,IF(L113="drewno",R113*'Założenia,wskaźniki, listy'!$E$44,IF(L113="pelet",R113*'Założenia,wskaźniki, listy'!$F$44,IF(L113="olej opałowy",R113*'Założenia,wskaźniki, listy'!$G$44,IF(L113="sieć ciepłownicza",0,IF(L113="prąd",0,0)))))))</f>
        <v>1.01745E-2</v>
      </c>
      <c r="U113" s="639">
        <f>IF(L113="węgiel",R113*'Założenia,wskaźniki, listy'!$C$45,IF(L113="gaz",R113*'Założenia,wskaźniki, listy'!$D$45,IF(L113="drewno",R113*'Założenia,wskaźniki, listy'!$E$45,IF(L113="pelet",R113*'Założenia,wskaźniki, listy'!$F$45,IF(L113="olej opałowy",R113*'Założenia,wskaźniki, listy'!$G$45,IF(L113="sieć ciepłownicza",0,IF(L113="prąd",0,0)))))))</f>
        <v>9.0892200000000003E-3</v>
      </c>
      <c r="V113" s="639">
        <f>IF(L113="węgiel",R113*'Założenia,wskaźniki, listy'!$C$46,IF(L113="gaz",R113*'Założenia,wskaźniki, listy'!$D$46,IF(L113="drewno",R113*'Założenia,wskaźniki, listy'!$E$46,IF(L113="pelet",R113*'Założenia,wskaźniki, listy'!$F$46,IF(L113="olej opałowy",R113*'Założenia,wskaźniki, listy'!$G$46,IF(L113="sieć ciepłownicza",R113*'Założenia,wskaźniki, listy'!$H$46,IF(L113="prąd",R113*'Założenia,wskaźniki, listy'!$I$46,0)))))))</f>
        <v>4.2389227999999992</v>
      </c>
      <c r="W113" s="639">
        <f>IF(L113="węgiel",R113*'Założenia,wskaźniki, listy'!$C$47,IF(L113="gaz",R113*'Założenia,wskaźniki, listy'!$D$47,IF(L113="drewno",R113*'Założenia,wskaźniki, listy'!$E$47,IF(L113="pelet",R113*'Założenia,wskaźniki, listy'!$F$47,IF(L113="olej opałowy",R113*'Założenia,wskaźniki, listy'!$G$47,IF(L113="sieć ciepłownicza",0,IF(L113="prąd",0,0)))))))</f>
        <v>1.22094E-5</v>
      </c>
      <c r="X113" s="639">
        <f>IF(L113="węgiel",R113*'Założenia,wskaźniki, listy'!$C$48, IF(L113="gaz",R113*'Założenia,wskaźniki, listy'!$D$48,IF(L113="drewno",R113*'Założenia,wskaźniki, listy'!$E$48,IF(L113="pelet",R113*'Założenia,wskaźniki, listy'!$F$48,IF(L113="olej opałowy",R113*'Założenia,wskaźniki, listy'!$G$48,IF(L113="sieć ciepłownicza",0,IF(L113="prąd",0,0)))))))</f>
        <v>4.0697999999999998E-2</v>
      </c>
      <c r="Y113" s="639">
        <f>IF(L113="węgiel",R113*'Założenia,wskaźniki, listy'!$C$49, IF(L113="gaz",R113*'Założenia,wskaźniki, listy'!$D$49, IF(L113="drewno",R113*'Założenia,wskaźniki, listy'!$E$49,IF(L113="pelet",R113*'Założenia,wskaźniki, listy'!$F$49,IF(L113="olej opałowy",R113*'Założenia,wskaźniki, listy'!$G$49,IF(L113="sieć ciepłownicza",0,IF(L113="prąd",0,0)))))))</f>
        <v>7.1447599999999991E-3</v>
      </c>
      <c r="Z113" s="639">
        <f>IF(L113="węgiel",R113*'Założenia,wskaźniki, listy'!$C$50,IF(L113="gaz",R113*'Założenia,wskaźniki, listy'!$D$50, IF(L113="drewno",R113*'Założenia,wskaźniki, listy'!$E$50,IF(L113="pelet",R113*'Założenia,wskaźniki, listy'!$F$50,IF(L113="pelet",R113*'Założenia,wskaźniki, listy'!$F$50,IF(L113="olej opałowy",R113*'Założenia,wskaźniki, listy'!$G$50,IF(L113="sieć ciepłownicza",0,IF(L113="prąd",0,0))))))))</f>
        <v>9.0965578900312913E-2</v>
      </c>
      <c r="AA113" s="639">
        <f>IF(N113="węgiel",Q113*'Założenia,wskaźniki, listy'!$C$44,IF(N113="gaz",Q113*'Założenia,wskaźniki, listy'!$D$44,IF(N113="drewno",Q113*'Założenia,wskaźniki, listy'!$E$44,IF(N113="pelet",Q113*'Założenia,wskaźniki, listy'!$G$44,IF(N113="olej opałowy",Q113*'Założenia,wskaźniki, listy'!$G$44,IF(N113="sieć ciepłownicza",0,IF(N113="prąd",0,0)))))))</f>
        <v>0</v>
      </c>
      <c r="AB113" s="639">
        <f>IF(N113="węgiel",Q113*'Założenia,wskaźniki, listy'!$C$45,IF(N113="gaz",Q113*'Założenia,wskaźniki, listy'!$D$45,IF(N113="drewno",Q113*'Założenia,wskaźniki, listy'!$E$45,IF(N113="pelet",Q113*'Założenia,wskaźniki, listy'!$G$45,IF(N113="olej opałowy",Q113*'Założenia,wskaźniki, listy'!$G$45,IF(N113="sieć ciepłownicza",0,IF(N113="prąd",0,0)))))))</f>
        <v>0</v>
      </c>
      <c r="AC113" s="639">
        <f>IF(N113="węgiel",Q113*'Założenia,wskaźniki, listy'!$C$46,IF(N113="gaz",Q113*'Założenia,wskaźniki, listy'!$D$46,IF(N113="drewno",Q113*'Założenia,wskaźniki, listy'!$E$46,IF(N113="pelet",Q113*'Założenia,wskaźniki, listy'!$G$46,IF(N113="olej opałowy",Q113*'Założenia,wskaźniki, listy'!$G$46,IF(N113="sieć ciepłownicza",0,IF(N113="prąd",0,0)))))))</f>
        <v>0</v>
      </c>
      <c r="AD113" s="639">
        <f>IF(N113="węgiel",Q113*'Założenia,wskaźniki, listy'!$C$47,IF(N113="gaz",Q113*'Założenia,wskaźniki, listy'!$D$47,IF(N113="drewno",Q113*'Założenia,wskaźniki, listy'!$E$47,IF(N113="pelet",Q113*'Założenia,wskaźniki, listy'!$G$47,IF(N113="olej opałowy",Q113*'Założenia,wskaźniki, listy'!$G$47,IF(N113="sieć ciepłownicza",0,IF(N113="prąd",0,0)))))))</f>
        <v>0</v>
      </c>
      <c r="AE113" s="639">
        <f>IF(N113="węgiel",Q113*'Założenia,wskaźniki, listy'!$C$48,IF(N113="gaz",Q113*'Założenia,wskaźniki, listy'!$D$48,IF(N113="drewno",Q113*'Założenia,wskaźniki, listy'!$E$48,IF(N113="pelet",Q113*'Założenia,wskaźniki, listy'!$G$48,IF(N113="olej opałowy",Q113*'Założenia,wskaźniki, listy'!$G$48,IF(N113="sieć ciepłownicza",0,IF(N113="prąd",0,0)))))))</f>
        <v>0</v>
      </c>
      <c r="AF113" s="639">
        <f>IF(N113="węgiel",Q113*'Założenia,wskaźniki, listy'!$C$49,IF(N113="gaz",Q113*'Założenia,wskaźniki, listy'!$D$49,IF(N113="drewno",Q113*'Założenia,wskaźniki, listy'!$E$49,IF(N113="pelet",Q113*'Założenia,wskaźniki, listy'!$G$49,IF(N113="olej opałowy",Q113*'Założenia,wskaźniki, listy'!$G$49,IF(N113="sieć ciepłownicza",0,IF(N113="prąd",0,0)))))))</f>
        <v>0</v>
      </c>
      <c r="AG113" s="639">
        <f>IF(N113="węgiel",Q113*'Założenia,wskaźniki, listy'!$C$50,IF(N113="gaz",Q113*'Założenia,wskaźniki, listy'!$D$50,IF(N113="drewno",Q113*'Założenia,wskaźniki, listy'!$E$50,IF(N113="pelet",Q113*'Założenia,wskaźniki, listy'!$G$50,IF(N113="olej opałowy",Q113*'Założenia,wskaźniki, listy'!$G$50,IF(N113="sieć ciepłownicza",0,IF(N113="prąd",0,0)))))))</f>
        <v>0</v>
      </c>
      <c r="AH113" s="640">
        <f>IF(L113="węgiel",(P113+R113)/2*'Założenia,wskaźniki, listy'!$C$4,IF(L113="gaz",(P113+R113)/2*'Założenia,wskaźniki, listy'!$C$5,IF(L113="drewno",(P113+R113)/2*'Założenia,wskaźniki, listy'!$C$6,IF(L113="pelet",(P113+R113)/2*'Założenia,wskaźniki, listy'!$C$7,IF(L113="olej opałowy",(P113+R113)/2*'Założenia,wskaźniki, listy'!$C$8,IF(L113="sieć ciepłownicza",(P113+R113)/2*'Założenia,wskaźniki, listy'!$C$9,IF(L113="sieć ciepłownicza",(P113+R113)/2*'Założenia,wskaźniki, listy'!$C$10,)))))))</f>
        <v>1783.0899999999997</v>
      </c>
      <c r="AI113" s="640">
        <f>IF(N113="węgiel",Q113*'Założenia,wskaźniki, listy'!$C$4,IF(N113="gaz",Q113*'Założenia,wskaźniki, listy'!$C$5,IF(N113="drewno",Q113*'Założenia,wskaźniki, listy'!$C$6,IF(N113="pelet",Q113*'Założenia,wskaźniki, listy'!$C$7,IF(N113="olej opałowy",Q113*'Założenia,wskaźniki, listy'!$C$8,IF(N113="sieć ciepłownicza",Q113*'Założenia,wskaźniki, listy'!$C$9,IF(N113="sieć ciepłownicza",Q113*'Założenia,wskaźniki, listy'!$C$10,0)))))))</f>
        <v>0</v>
      </c>
      <c r="AJ113" s="640">
        <f>S113*'Założenia,wskaźniki, listy'!$B$64*1000</f>
        <v>1201.32</v>
      </c>
      <c r="AK113" s="640">
        <f>(H113+I113)*'Założenia,wskaźniki, listy'!$D$64*12</f>
        <v>0</v>
      </c>
      <c r="AL113" s="640">
        <f>AK113*'Założenia,wskaźniki, listy'!$F$64</f>
        <v>0</v>
      </c>
      <c r="AM113" s="639">
        <f t="shared" si="128"/>
        <v>1.01745E-2</v>
      </c>
      <c r="AN113" s="639">
        <f t="shared" si="129"/>
        <v>9.0892200000000003E-3</v>
      </c>
      <c r="AO113" s="639">
        <f>V113+AC113+S113*'Założenia,wskaźniki, listy'!$J$46</f>
        <v>5.6458207999999992</v>
      </c>
      <c r="AP113" s="639">
        <f t="shared" si="130"/>
        <v>1.22094E-5</v>
      </c>
      <c r="AQ113" s="639">
        <f t="shared" si="131"/>
        <v>4.0697999999999998E-2</v>
      </c>
      <c r="AR113" s="639">
        <f t="shared" si="132"/>
        <v>7.1447599999999991E-3</v>
      </c>
      <c r="AS113" s="639">
        <f t="shared" si="133"/>
        <v>9.0965578900312913E-2</v>
      </c>
      <c r="AT113" s="647"/>
      <c r="AU113" s="647"/>
      <c r="AV113" s="624">
        <f t="shared" si="135"/>
        <v>50</v>
      </c>
      <c r="AW113" s="624">
        <f t="shared" si="136"/>
        <v>25</v>
      </c>
      <c r="AX113" s="624" t="b">
        <f t="shared" si="137"/>
        <v>0</v>
      </c>
      <c r="AY113" s="624">
        <f t="shared" si="138"/>
        <v>0</v>
      </c>
      <c r="AZ113" s="624" t="b">
        <f t="shared" si="139"/>
        <v>0</v>
      </c>
      <c r="BA113" s="624">
        <f t="shared" si="140"/>
        <v>0</v>
      </c>
      <c r="BB113" s="624" t="b">
        <f t="shared" si="141"/>
        <v>0</v>
      </c>
      <c r="BC113" s="624">
        <f t="shared" si="142"/>
        <v>0</v>
      </c>
      <c r="BD113" s="624" t="b">
        <f t="shared" si="143"/>
        <v>0</v>
      </c>
      <c r="BE113" s="624">
        <f t="shared" si="144"/>
        <v>0</v>
      </c>
      <c r="BF113" s="624">
        <f t="shared" si="145"/>
        <v>45.22</v>
      </c>
      <c r="BG113" s="624" t="b">
        <f t="shared" si="146"/>
        <v>0</v>
      </c>
      <c r="BH113" s="624" t="b">
        <f t="shared" si="147"/>
        <v>0</v>
      </c>
      <c r="BI113" s="624" t="b">
        <f t="shared" si="148"/>
        <v>0</v>
      </c>
      <c r="BJ113" s="624" t="b">
        <f t="shared" si="149"/>
        <v>0</v>
      </c>
      <c r="BK113" s="624" t="b">
        <f t="shared" si="150"/>
        <v>0</v>
      </c>
      <c r="BL113" s="624" t="b">
        <f t="shared" si="151"/>
        <v>0</v>
      </c>
      <c r="BM113" s="624" t="b">
        <f t="shared" si="152"/>
        <v>0</v>
      </c>
      <c r="BN113" s="624" t="b">
        <f t="shared" si="153"/>
        <v>0</v>
      </c>
      <c r="BO113" s="624" t="b">
        <f t="shared" si="154"/>
        <v>0</v>
      </c>
      <c r="BP113" s="624" t="b">
        <f t="shared" si="155"/>
        <v>0</v>
      </c>
      <c r="BQ113" s="624" t="b">
        <f t="shared" si="156"/>
        <v>0</v>
      </c>
    </row>
    <row r="114" spans="1:69">
      <c r="A114" s="1087"/>
      <c r="B114" s="872"/>
      <c r="C114" s="874"/>
      <c r="D114" s="645"/>
      <c r="E114" s="645"/>
      <c r="F114" s="644"/>
      <c r="G114" s="644"/>
      <c r="H114" s="644"/>
      <c r="I114" s="635"/>
      <c r="J114" s="644">
        <f>IF(F114&lt;=1966,'Założenia,wskaźniki, listy'!$H$4,IF(F114&gt;1966,IF(F114&lt;=1985,'Założenia,wskaźniki, listy'!$H$5,IF(F114&gt;1985,IF(F114&lt;=1992,'Założenia,wskaźniki, listy'!$H$6,IF(F114&gt;1992,IF(F114&lt;=1996,'Założenia,wskaźniki, listy'!$H$7,IF(F114&gt;1996,IF(F114&lt;=2015,'Założenia,wskaźniki, listy'!$H$8)))))))))</f>
        <v>290</v>
      </c>
      <c r="K114" s="864"/>
      <c r="L114" s="872"/>
      <c r="M114" s="872"/>
      <c r="N114" s="644"/>
      <c r="O114" s="637">
        <f t="shared" si="134"/>
        <v>0</v>
      </c>
      <c r="P114" s="646">
        <f>IF(K114="kompletna",J114*G114*0.0036*'Założenia,wskaźniki, listy'!$P$9,IF(K114="częściowa",J114*G114*0.0036*'Założenia,wskaźniki, listy'!$P$10,IF(K114="brak",J114*G114*0.0036*'Założenia,wskaźniki, listy'!$P$11,0)))</f>
        <v>0</v>
      </c>
      <c r="Q114" s="638">
        <f>H114*'Założenia,wskaźniki, listy'!$L$15</f>
        <v>0</v>
      </c>
      <c r="R114" s="635">
        <f>IF(L114="węgiel",'Mieszkalne - baza'!M114*'Założenia,wskaźniki, listy'!$B$4,IF(L114="gaz",'Mieszkalne - baza'!M114*'Założenia,wskaźniki, listy'!$B$5,IF(L114="drewno",'Mieszkalne - baza'!M114*'Założenia,wskaźniki, listy'!$B$6,IF(L114="pelet",'Mieszkalne - baza'!M114*'Założenia,wskaźniki, listy'!$B$7,IF(L114="olej opałowy",'Mieszkalne - baza'!M114*'Założenia,wskaźniki, listy'!$B$8,IF(L114="sieć ciepłownicza",0,0))))))</f>
        <v>0</v>
      </c>
      <c r="S114" s="1085"/>
      <c r="T114" s="639">
        <f>IF(L114="węgiel",R114*'Założenia,wskaźniki, listy'!$C$44,IF(L114="gaz",R114*'Założenia,wskaźniki, listy'!$D$44,IF(L114="drewno",R114*'Założenia,wskaźniki, listy'!$E$44,IF(L114="pelet",R114*'Założenia,wskaźniki, listy'!$F$44,IF(L114="olej opałowy",R114*'Założenia,wskaźniki, listy'!$G$44,IF(L114="sieć ciepłownicza",0,IF(L114="prąd",0,0)))))))</f>
        <v>0</v>
      </c>
      <c r="U114" s="639">
        <f>IF(L114="węgiel",R114*'Założenia,wskaźniki, listy'!$C$45,IF(L114="gaz",R114*'Założenia,wskaźniki, listy'!$D$45,IF(L114="drewno",R114*'Założenia,wskaźniki, listy'!$E$45,IF(L114="pelet",R114*'Założenia,wskaźniki, listy'!$F$45,IF(L114="olej opałowy",R114*'Założenia,wskaźniki, listy'!$G$45,IF(L114="sieć ciepłownicza",0,IF(L114="prąd",0,0)))))))</f>
        <v>0</v>
      </c>
      <c r="V114" s="639">
        <f>IF(L114="węgiel",R114*'Założenia,wskaźniki, listy'!$C$46,IF(L114="gaz",R114*'Założenia,wskaźniki, listy'!$D$46,IF(L114="drewno",R114*'Założenia,wskaźniki, listy'!$E$46,IF(L114="pelet",R114*'Założenia,wskaźniki, listy'!$F$46,IF(L114="olej opałowy",R114*'Założenia,wskaźniki, listy'!$G$46,IF(L114="sieć ciepłownicza",R114*'Założenia,wskaźniki, listy'!$H$46,IF(L114="prąd",R114*'Założenia,wskaźniki, listy'!$I$46,0)))))))</f>
        <v>0</v>
      </c>
      <c r="W114" s="639">
        <f>IF(L114="węgiel",R114*'Założenia,wskaźniki, listy'!$C$47,IF(L114="gaz",R114*'Założenia,wskaźniki, listy'!$D$47,IF(L114="drewno",R114*'Założenia,wskaźniki, listy'!$E$47,IF(L114="pelet",R114*'Założenia,wskaźniki, listy'!$F$47,IF(L114="olej opałowy",R114*'Założenia,wskaźniki, listy'!$G$47,IF(L114="sieć ciepłownicza",0,IF(L114="prąd",0,0)))))))</f>
        <v>0</v>
      </c>
      <c r="X114" s="639">
        <f>IF(L114="węgiel",R114*'Założenia,wskaźniki, listy'!$C$48, IF(L114="gaz",R114*'Założenia,wskaźniki, listy'!$D$48,IF(L114="drewno",R114*'Założenia,wskaźniki, listy'!$E$48,IF(L114="pelet",R114*'Założenia,wskaźniki, listy'!$F$48,IF(L114="olej opałowy",R114*'Założenia,wskaźniki, listy'!$G$48,IF(L114="sieć ciepłownicza",0,IF(L114="prąd",0,0)))))))</f>
        <v>0</v>
      </c>
      <c r="Y114" s="639">
        <f>IF(L114="węgiel",R114*'Założenia,wskaźniki, listy'!$C$49, IF(L114="gaz",R114*'Założenia,wskaźniki, listy'!$D$49, IF(L114="drewno",R114*'Założenia,wskaźniki, listy'!$E$49,IF(L114="pelet",R114*'Założenia,wskaźniki, listy'!$F$49,IF(L114="olej opałowy",R114*'Założenia,wskaźniki, listy'!$G$49,IF(L114="sieć ciepłownicza",0,IF(L114="prąd",0,0)))))))</f>
        <v>0</v>
      </c>
      <c r="Z114" s="639">
        <f>IF(L114="węgiel",R114*'Założenia,wskaźniki, listy'!$C$50,IF(L114="gaz",R114*'Założenia,wskaźniki, listy'!$D$50, IF(L114="drewno",R114*'Założenia,wskaźniki, listy'!$E$50,IF(L114="pelet",R114*'Założenia,wskaźniki, listy'!$F$50,IF(L114="pelet",R114*'Założenia,wskaźniki, listy'!$F$50,IF(L114="olej opałowy",R114*'Założenia,wskaźniki, listy'!$G$50,IF(L114="sieć ciepłownicza",0,IF(L114="prąd",0,0))))))))</f>
        <v>0</v>
      </c>
      <c r="AA114" s="639">
        <f>IF(N114="węgiel",Q114*'Założenia,wskaźniki, listy'!$C$44,IF(N114="gaz",Q114*'Założenia,wskaźniki, listy'!$D$44,IF(N114="drewno",Q114*'Założenia,wskaźniki, listy'!$E$44,IF(N114="pelet",Q114*'Założenia,wskaźniki, listy'!$G$44,IF(N114="olej opałowy",Q114*'Założenia,wskaźniki, listy'!$G$44,IF(N114="sieć ciepłownicza",0,IF(N114="prąd",0,0)))))))</f>
        <v>0</v>
      </c>
      <c r="AB114" s="639">
        <f>IF(N114="węgiel",Q114*'Założenia,wskaźniki, listy'!$C$45,IF(N114="gaz",Q114*'Założenia,wskaźniki, listy'!$D$45,IF(N114="drewno",Q114*'Założenia,wskaźniki, listy'!$E$45,IF(N114="pelet",Q114*'Założenia,wskaźniki, listy'!$G$45,IF(N114="olej opałowy",Q114*'Założenia,wskaźniki, listy'!$G$45,IF(N114="sieć ciepłownicza",0,IF(N114="prąd",0,0)))))))</f>
        <v>0</v>
      </c>
      <c r="AC114" s="639">
        <f>IF(N114="węgiel",Q114*'Założenia,wskaźniki, listy'!$C$46,IF(N114="gaz",Q114*'Założenia,wskaźniki, listy'!$D$46,IF(N114="drewno",Q114*'Założenia,wskaźniki, listy'!$E$46,IF(N114="pelet",Q114*'Założenia,wskaźniki, listy'!$G$46,IF(N114="olej opałowy",Q114*'Założenia,wskaźniki, listy'!$G$46,IF(N114="sieć ciepłownicza",0,IF(N114="prąd",0,0)))))))</f>
        <v>0</v>
      </c>
      <c r="AD114" s="639">
        <f>IF(N114="węgiel",Q114*'Założenia,wskaźniki, listy'!$C$47,IF(N114="gaz",Q114*'Założenia,wskaźniki, listy'!$D$47,IF(N114="drewno",Q114*'Założenia,wskaźniki, listy'!$E$47,IF(N114="pelet",Q114*'Założenia,wskaźniki, listy'!$G$47,IF(N114="olej opałowy",Q114*'Założenia,wskaźniki, listy'!$G$47,IF(N114="sieć ciepłownicza",0,IF(N114="prąd",0,0)))))))</f>
        <v>0</v>
      </c>
      <c r="AE114" s="639">
        <f>IF(N114="węgiel",Q114*'Założenia,wskaźniki, listy'!$C$48,IF(N114="gaz",Q114*'Założenia,wskaźniki, listy'!$D$48,IF(N114="drewno",Q114*'Założenia,wskaźniki, listy'!$E$48,IF(N114="pelet",Q114*'Założenia,wskaźniki, listy'!$G$48,IF(N114="olej opałowy",Q114*'Założenia,wskaźniki, listy'!$G$48,IF(N114="sieć ciepłownicza",0,IF(N114="prąd",0,0)))))))</f>
        <v>0</v>
      </c>
      <c r="AF114" s="639">
        <f>IF(N114="węgiel",Q114*'Założenia,wskaźniki, listy'!$C$49,IF(N114="gaz",Q114*'Założenia,wskaźniki, listy'!$D$49,IF(N114="drewno",Q114*'Założenia,wskaźniki, listy'!$E$49,IF(N114="pelet",Q114*'Założenia,wskaźniki, listy'!$G$49,IF(N114="olej opałowy",Q114*'Założenia,wskaźniki, listy'!$G$49,IF(N114="sieć ciepłownicza",0,IF(N114="prąd",0,0)))))))</f>
        <v>0</v>
      </c>
      <c r="AG114" s="639">
        <f>IF(N114="węgiel",Q114*'Założenia,wskaźniki, listy'!$C$50,IF(N114="gaz",Q114*'Założenia,wskaźniki, listy'!$D$50,IF(N114="drewno",Q114*'Założenia,wskaźniki, listy'!$E$50,IF(N114="pelet",Q114*'Założenia,wskaźniki, listy'!$G$50,IF(N114="olej opałowy",Q114*'Założenia,wskaźniki, listy'!$G$50,IF(N114="sieć ciepłownicza",0,IF(N114="prąd",0,0)))))))</f>
        <v>0</v>
      </c>
      <c r="AH114" s="640">
        <f>IF(L114="węgiel",(P114+R114)/2*'Założenia,wskaźniki, listy'!$C$4,IF(L114="gaz",(P114+R114)/2*'Założenia,wskaźniki, listy'!$C$5,IF(L114="drewno",(P114+R114)/2*'Założenia,wskaźniki, listy'!$C$6,IF(L114="pelet",(P114+R114)/2*'Założenia,wskaźniki, listy'!$C$7,IF(L114="olej opałowy",(P114+R114)/2*'Założenia,wskaźniki, listy'!$C$8,IF(L114="sieć ciepłownicza",(P114+R114)/2*'Założenia,wskaźniki, listy'!$C$9,IF(L114="sieć ciepłownicza",(P114+R114)/2*'Założenia,wskaźniki, listy'!$C$10,)))))))</f>
        <v>0</v>
      </c>
      <c r="AI114" s="640">
        <f>IF(N114="węgiel",Q114*'Założenia,wskaźniki, listy'!$C$4,IF(N114="gaz",Q114*'Założenia,wskaźniki, listy'!$C$5,IF(N114="drewno",Q114*'Założenia,wskaźniki, listy'!$C$6,IF(N114="pelet",Q114*'Założenia,wskaźniki, listy'!$C$7,IF(N114="olej opałowy",Q114*'Założenia,wskaźniki, listy'!$C$8,IF(N114="sieć ciepłownicza",Q114*'Założenia,wskaźniki, listy'!$C$9,IF(N114="sieć ciepłownicza",Q114*'Założenia,wskaźniki, listy'!$C$10,0)))))))</f>
        <v>0</v>
      </c>
      <c r="AJ114" s="640">
        <f>S114*'Założenia,wskaźniki, listy'!$B$64*1000</f>
        <v>0</v>
      </c>
      <c r="AK114" s="640">
        <f>(H114+I114)*'Założenia,wskaźniki, listy'!$D$64*12</f>
        <v>0</v>
      </c>
      <c r="AL114" s="640">
        <f>AK114*'Założenia,wskaźniki, listy'!$F$64</f>
        <v>0</v>
      </c>
      <c r="AM114" s="639">
        <f t="shared" si="128"/>
        <v>0</v>
      </c>
      <c r="AN114" s="639">
        <f t="shared" si="129"/>
        <v>0</v>
      </c>
      <c r="AO114" s="639">
        <f>V114+AC114+S114*'Założenia,wskaźniki, listy'!$J$46</f>
        <v>0</v>
      </c>
      <c r="AP114" s="639">
        <f t="shared" si="130"/>
        <v>0</v>
      </c>
      <c r="AQ114" s="639">
        <f t="shared" si="131"/>
        <v>0</v>
      </c>
      <c r="AR114" s="639">
        <f t="shared" si="132"/>
        <v>0</v>
      </c>
      <c r="AS114" s="639">
        <f t="shared" si="133"/>
        <v>0</v>
      </c>
      <c r="AT114" s="647"/>
      <c r="AU114" s="647"/>
      <c r="AV114" s="624">
        <f t="shared" si="135"/>
        <v>0</v>
      </c>
      <c r="AW114" s="624" t="b">
        <f t="shared" si="136"/>
        <v>0</v>
      </c>
      <c r="AX114" s="624" t="b">
        <f t="shared" si="137"/>
        <v>0</v>
      </c>
      <c r="AY114" s="624" t="b">
        <f t="shared" si="138"/>
        <v>0</v>
      </c>
      <c r="AZ114" s="624" t="b">
        <f t="shared" si="139"/>
        <v>0</v>
      </c>
      <c r="BA114" s="624" t="b">
        <f t="shared" si="140"/>
        <v>0</v>
      </c>
      <c r="BB114" s="624" t="b">
        <f t="shared" si="141"/>
        <v>0</v>
      </c>
      <c r="BC114" s="624" t="b">
        <f t="shared" si="142"/>
        <v>0</v>
      </c>
      <c r="BD114" s="624" t="b">
        <f t="shared" si="143"/>
        <v>0</v>
      </c>
      <c r="BE114" s="624" t="b">
        <f t="shared" si="144"/>
        <v>0</v>
      </c>
      <c r="BF114" s="624" t="b">
        <f t="shared" si="145"/>
        <v>0</v>
      </c>
      <c r="BG114" s="624" t="b">
        <f t="shared" si="146"/>
        <v>0</v>
      </c>
      <c r="BH114" s="624" t="b">
        <f t="shared" si="147"/>
        <v>0</v>
      </c>
      <c r="BI114" s="624" t="b">
        <f t="shared" si="148"/>
        <v>0</v>
      </c>
      <c r="BJ114" s="624" t="b">
        <f t="shared" si="149"/>
        <v>0</v>
      </c>
      <c r="BK114" s="624" t="b">
        <f t="shared" si="150"/>
        <v>0</v>
      </c>
      <c r="BL114" s="624" t="b">
        <f t="shared" si="151"/>
        <v>0</v>
      </c>
      <c r="BM114" s="624" t="b">
        <f t="shared" si="152"/>
        <v>0</v>
      </c>
      <c r="BN114" s="624" t="b">
        <f t="shared" si="153"/>
        <v>0</v>
      </c>
      <c r="BO114" s="624" t="b">
        <f t="shared" si="154"/>
        <v>0</v>
      </c>
      <c r="BP114" s="624" t="b">
        <f t="shared" si="155"/>
        <v>0</v>
      </c>
      <c r="BQ114" s="624" t="b">
        <f t="shared" si="156"/>
        <v>0</v>
      </c>
    </row>
    <row r="115" spans="1:69">
      <c r="A115" s="1086">
        <v>56</v>
      </c>
      <c r="B115" s="872" t="s">
        <v>21</v>
      </c>
      <c r="C115" s="873" t="s">
        <v>634</v>
      </c>
      <c r="D115" s="645"/>
      <c r="E115" s="645">
        <v>10</v>
      </c>
      <c r="F115" s="644">
        <v>1990</v>
      </c>
      <c r="G115" s="635">
        <v>180</v>
      </c>
      <c r="H115" s="644"/>
      <c r="I115" s="635"/>
      <c r="J115" s="644">
        <f>IF(F115&lt;=1966,'Założenia,wskaźniki, listy'!$H$4,IF(F115&gt;1966,IF(F115&lt;=1985,'Założenia,wskaźniki, listy'!$H$5,IF(F115&gt;1985,IF(F115&lt;=1992,'Założenia,wskaźniki, listy'!$H$6,IF(F115&gt;1992,IF(F115&lt;=1996,'Założenia,wskaźniki, listy'!$H$7,IF(F115&gt;1996,IF(F115&lt;=2015,'Założenia,wskaźniki, listy'!$H$8)))))))))</f>
        <v>175</v>
      </c>
      <c r="K115" s="864" t="s">
        <v>31</v>
      </c>
      <c r="L115" s="644" t="s">
        <v>8</v>
      </c>
      <c r="M115" s="644">
        <v>5</v>
      </c>
      <c r="N115" s="644"/>
      <c r="O115" s="637">
        <f t="shared" si="134"/>
        <v>113.22499999999999</v>
      </c>
      <c r="P115" s="646">
        <f>IF(K115="kompletna",J115*G115*0.0036*'Założenia,wskaźniki, listy'!$P$9,IF(K115="częściowa",J115*G115*0.0036*'Założenia,wskaźniki, listy'!$P$10,IF(K115="brak",J115*G115*0.0036*'Założenia,wskaźniki, listy'!$P$11,0)))</f>
        <v>113.39999999999999</v>
      </c>
      <c r="Q115" s="638">
        <f>H115*'Założenia,wskaźniki, listy'!$L$15</f>
        <v>0</v>
      </c>
      <c r="R115" s="635">
        <f>IF(L115="węgiel",'Mieszkalne - baza'!M115*'Założenia,wskaźniki, listy'!$B$4,IF(L115="gaz",'Mieszkalne - baza'!M115*'Założenia,wskaźniki, listy'!$B$5,IF(L115="drewno",'Mieszkalne - baza'!M115*'Założenia,wskaźniki, listy'!$B$6,IF(L115="pelet",'Mieszkalne - baza'!M115*'Założenia,wskaźniki, listy'!$B$7,IF(L115="olej opałowy",'Mieszkalne - baza'!M115*'Założenia,wskaźniki, listy'!$B$8,IF(L115="sieć ciepłownicza",0,0))))))</f>
        <v>113.05</v>
      </c>
      <c r="S115" s="1084">
        <v>1.8048000000000002</v>
      </c>
      <c r="T115" s="639">
        <f>IF(L115="węgiel",R115*'Założenia,wskaźniki, listy'!$C$44,IF(L115="gaz",R115*'Założenia,wskaźniki, listy'!$D$44,IF(L115="drewno",R115*'Założenia,wskaźniki, listy'!$E$44,IF(L115="pelet",R115*'Założenia,wskaźniki, listy'!$F$44,IF(L115="olej opałowy",R115*'Założenia,wskaźniki, listy'!$G$44,IF(L115="sieć ciepłownicza",0,IF(L115="prąd",0,0)))))))</f>
        <v>2.5436249999999997E-2</v>
      </c>
      <c r="U115" s="639">
        <f>IF(L115="węgiel",R115*'Założenia,wskaźniki, listy'!$C$45,IF(L115="gaz",R115*'Założenia,wskaźniki, listy'!$D$45,IF(L115="drewno",R115*'Założenia,wskaźniki, listy'!$E$45,IF(L115="pelet",R115*'Założenia,wskaźniki, listy'!$F$45,IF(L115="olej opałowy",R115*'Założenia,wskaźniki, listy'!$G$45,IF(L115="sieć ciepłownicza",0,IF(L115="prąd",0,0)))))))</f>
        <v>2.2723050000000002E-2</v>
      </c>
      <c r="V115" s="639">
        <f>IF(L115="węgiel",R115*'Założenia,wskaźniki, listy'!$C$46,IF(L115="gaz",R115*'Założenia,wskaźniki, listy'!$D$46,IF(L115="drewno",R115*'Założenia,wskaźniki, listy'!$E$46,IF(L115="pelet",R115*'Założenia,wskaźniki, listy'!$F$46,IF(L115="olej opałowy",R115*'Założenia,wskaźniki, listy'!$G$46,IF(L115="sieć ciepłownicza",R115*'Założenia,wskaźniki, listy'!$H$46,IF(L115="prąd",R115*'Założenia,wskaźniki, listy'!$I$46,0)))))))</f>
        <v>10.597306999999999</v>
      </c>
      <c r="W115" s="639">
        <f>IF(L115="węgiel",R115*'Założenia,wskaźniki, listy'!$C$47,IF(L115="gaz",R115*'Założenia,wskaźniki, listy'!$D$47,IF(L115="drewno",R115*'Założenia,wskaźniki, listy'!$E$47,IF(L115="pelet",R115*'Założenia,wskaźniki, listy'!$F$47,IF(L115="olej opałowy",R115*'Założenia,wskaźniki, listy'!$G$47,IF(L115="sieć ciepłownicza",0,IF(L115="prąd",0,0)))))))</f>
        <v>3.05235E-5</v>
      </c>
      <c r="X115" s="639">
        <f>IF(L115="węgiel",R115*'Założenia,wskaźniki, listy'!$C$48, IF(L115="gaz",R115*'Założenia,wskaźniki, listy'!$D$48,IF(L115="drewno",R115*'Założenia,wskaźniki, listy'!$E$48,IF(L115="pelet",R115*'Założenia,wskaźniki, listy'!$F$48,IF(L115="olej opałowy",R115*'Założenia,wskaźniki, listy'!$G$48,IF(L115="sieć ciepłownicza",0,IF(L115="prąd",0,0)))))))</f>
        <v>0.10174499999999999</v>
      </c>
      <c r="Y115" s="639">
        <f>IF(L115="węgiel",R115*'Założenia,wskaźniki, listy'!$C$49, IF(L115="gaz",R115*'Założenia,wskaźniki, listy'!$D$49, IF(L115="drewno",R115*'Założenia,wskaźniki, listy'!$E$49,IF(L115="pelet",R115*'Założenia,wskaźniki, listy'!$F$49,IF(L115="olej opałowy",R115*'Założenia,wskaźniki, listy'!$G$49,IF(L115="sieć ciepłownicza",0,IF(L115="prąd",0,0)))))))</f>
        <v>1.78619E-2</v>
      </c>
      <c r="Z115" s="639">
        <f>IF(L115="węgiel",R115*'Założenia,wskaźniki, listy'!$C$50,IF(L115="gaz",R115*'Założenia,wskaźniki, listy'!$D$50, IF(L115="drewno",R115*'Założenia,wskaźniki, listy'!$E$50,IF(L115="pelet",R115*'Założenia,wskaźniki, listy'!$F$50,IF(L115="pelet",R115*'Założenia,wskaźniki, listy'!$F$50,IF(L115="olej opałowy",R115*'Założenia,wskaźniki, listy'!$G$50,IF(L115="sieć ciepłownicza",0,IF(L115="prąd",0,0))))))))</f>
        <v>0.22741394725078226</v>
      </c>
      <c r="AA115" s="639">
        <f>IF(N115="węgiel",Q115*'Założenia,wskaźniki, listy'!$C$44,IF(N115="gaz",Q115*'Założenia,wskaźniki, listy'!$D$44,IF(N115="drewno",Q115*'Założenia,wskaźniki, listy'!$E$44,IF(N115="pelet",Q115*'Założenia,wskaźniki, listy'!$G$44,IF(N115="olej opałowy",Q115*'Założenia,wskaźniki, listy'!$G$44,IF(N115="sieć ciepłownicza",0,IF(N115="prąd",0,0)))))))</f>
        <v>0</v>
      </c>
      <c r="AB115" s="639">
        <f>IF(N115="węgiel",Q115*'Założenia,wskaźniki, listy'!$C$45,IF(N115="gaz",Q115*'Założenia,wskaźniki, listy'!$D$45,IF(N115="drewno",Q115*'Założenia,wskaźniki, listy'!$E$45,IF(N115="pelet",Q115*'Założenia,wskaźniki, listy'!$G$45,IF(N115="olej opałowy",Q115*'Założenia,wskaźniki, listy'!$G$45,IF(N115="sieć ciepłownicza",0,IF(N115="prąd",0,0)))))))</f>
        <v>0</v>
      </c>
      <c r="AC115" s="639">
        <f>IF(N115="węgiel",Q115*'Założenia,wskaźniki, listy'!$C$46,IF(N115="gaz",Q115*'Założenia,wskaźniki, listy'!$D$46,IF(N115="drewno",Q115*'Założenia,wskaźniki, listy'!$E$46,IF(N115="pelet",Q115*'Założenia,wskaźniki, listy'!$G$46,IF(N115="olej opałowy",Q115*'Założenia,wskaźniki, listy'!$G$46,IF(N115="sieć ciepłownicza",0,IF(N115="prąd",0,0)))))))</f>
        <v>0</v>
      </c>
      <c r="AD115" s="639">
        <f>IF(N115="węgiel",Q115*'Założenia,wskaźniki, listy'!$C$47,IF(N115="gaz",Q115*'Założenia,wskaźniki, listy'!$D$47,IF(N115="drewno",Q115*'Założenia,wskaźniki, listy'!$E$47,IF(N115="pelet",Q115*'Założenia,wskaźniki, listy'!$G$47,IF(N115="olej opałowy",Q115*'Założenia,wskaźniki, listy'!$G$47,IF(N115="sieć ciepłownicza",0,IF(N115="prąd",0,0)))))))</f>
        <v>0</v>
      </c>
      <c r="AE115" s="639">
        <f>IF(N115="węgiel",Q115*'Założenia,wskaźniki, listy'!$C$48,IF(N115="gaz",Q115*'Założenia,wskaźniki, listy'!$D$48,IF(N115="drewno",Q115*'Założenia,wskaźniki, listy'!$E$48,IF(N115="pelet",Q115*'Założenia,wskaźniki, listy'!$G$48,IF(N115="olej opałowy",Q115*'Założenia,wskaźniki, listy'!$G$48,IF(N115="sieć ciepłownicza",0,IF(N115="prąd",0,0)))))))</f>
        <v>0</v>
      </c>
      <c r="AF115" s="639">
        <f>IF(N115="węgiel",Q115*'Założenia,wskaźniki, listy'!$C$49,IF(N115="gaz",Q115*'Założenia,wskaźniki, listy'!$D$49,IF(N115="drewno",Q115*'Założenia,wskaźniki, listy'!$E$49,IF(N115="pelet",Q115*'Założenia,wskaźniki, listy'!$G$49,IF(N115="olej opałowy",Q115*'Założenia,wskaźniki, listy'!$G$49,IF(N115="sieć ciepłownicza",0,IF(N115="prąd",0,0)))))))</f>
        <v>0</v>
      </c>
      <c r="AG115" s="639">
        <f>IF(N115="węgiel",Q115*'Założenia,wskaźniki, listy'!$C$50,IF(N115="gaz",Q115*'Założenia,wskaźniki, listy'!$D$50,IF(N115="drewno",Q115*'Założenia,wskaźniki, listy'!$E$50,IF(N115="pelet",Q115*'Założenia,wskaźniki, listy'!$G$50,IF(N115="olej opałowy",Q115*'Założenia,wskaźniki, listy'!$G$50,IF(N115="sieć ciepłownicza",0,IF(N115="prąd",0,0)))))))</f>
        <v>0</v>
      </c>
      <c r="AH115" s="640">
        <f>IF(L115="węgiel",(P115+R115)/2*'Założenia,wskaźniki, listy'!$C$4,IF(L115="gaz",(P115+R115)/2*'Założenia,wskaźniki, listy'!$C$5,IF(L115="drewno",(P115+R115)/2*'Założenia,wskaźniki, listy'!$C$6,IF(L115="pelet",(P115+R115)/2*'Założenia,wskaźniki, listy'!$C$7,IF(L115="olej opałowy",(P115+R115)/2*'Założenia,wskaźniki, listy'!$C$8,IF(L115="sieć ciepłownicza",(P115+R115)/2*'Założenia,wskaźniki, listy'!$C$9,IF(L115="sieć ciepłownicza",(P115+R115)/2*'Założenia,wskaźniki, listy'!$C$10,)))))))</f>
        <v>4642.2249999999995</v>
      </c>
      <c r="AI115" s="640">
        <f>IF(N115="węgiel",Q115*'Założenia,wskaźniki, listy'!$C$4,IF(N115="gaz",Q115*'Założenia,wskaźniki, listy'!$C$5,IF(N115="drewno",Q115*'Założenia,wskaźniki, listy'!$C$6,IF(N115="pelet",Q115*'Założenia,wskaźniki, listy'!$C$7,IF(N115="olej opałowy",Q115*'Założenia,wskaźniki, listy'!$C$8,IF(N115="sieć ciepłownicza",Q115*'Założenia,wskaźniki, listy'!$C$9,IF(N115="sieć ciepłownicza",Q115*'Założenia,wskaźniki, listy'!$C$10,0)))))))</f>
        <v>0</v>
      </c>
      <c r="AJ115" s="640">
        <f>S115*'Założenia,wskaźniki, listy'!$B$64*1000</f>
        <v>1281.4080000000001</v>
      </c>
      <c r="AK115" s="640">
        <f>(H115+I115)*'Założenia,wskaźniki, listy'!$D$64*12</f>
        <v>0</v>
      </c>
      <c r="AL115" s="640">
        <f>AK115*'Założenia,wskaźniki, listy'!$F$64</f>
        <v>0</v>
      </c>
      <c r="AM115" s="639">
        <f t="shared" si="128"/>
        <v>2.5436249999999997E-2</v>
      </c>
      <c r="AN115" s="639">
        <f t="shared" si="129"/>
        <v>2.2723050000000002E-2</v>
      </c>
      <c r="AO115" s="639">
        <f>V115+AC115+S115*'Założenia,wskaźniki, listy'!$J$46</f>
        <v>12.097998199999999</v>
      </c>
      <c r="AP115" s="639">
        <f t="shared" si="130"/>
        <v>3.05235E-5</v>
      </c>
      <c r="AQ115" s="639">
        <f t="shared" si="131"/>
        <v>0.10174499999999999</v>
      </c>
      <c r="AR115" s="639">
        <f t="shared" si="132"/>
        <v>1.78619E-2</v>
      </c>
      <c r="AS115" s="639">
        <f t="shared" si="133"/>
        <v>0.22741394725078226</v>
      </c>
      <c r="AT115" s="647"/>
      <c r="AU115" s="647"/>
      <c r="AV115" s="624" t="b">
        <f t="shared" si="135"/>
        <v>0</v>
      </c>
      <c r="AW115" s="624" t="b">
        <f t="shared" si="136"/>
        <v>0</v>
      </c>
      <c r="AX115" s="624" t="b">
        <f t="shared" si="137"/>
        <v>0</v>
      </c>
      <c r="AY115" s="624" t="b">
        <f t="shared" si="138"/>
        <v>0</v>
      </c>
      <c r="AZ115" s="624">
        <f t="shared" si="139"/>
        <v>180</v>
      </c>
      <c r="BA115" s="624" t="b">
        <f t="shared" si="140"/>
        <v>0</v>
      </c>
      <c r="BB115" s="624" t="b">
        <f t="shared" si="141"/>
        <v>0</v>
      </c>
      <c r="BC115" s="624" t="b">
        <f t="shared" si="142"/>
        <v>0</v>
      </c>
      <c r="BD115" s="624" t="b">
        <f t="shared" si="143"/>
        <v>0</v>
      </c>
      <c r="BE115" s="624" t="b">
        <f t="shared" si="144"/>
        <v>0</v>
      </c>
      <c r="BF115" s="624">
        <f t="shared" si="145"/>
        <v>113.05</v>
      </c>
      <c r="BG115" s="624" t="b">
        <f t="shared" si="146"/>
        <v>0</v>
      </c>
      <c r="BH115" s="624" t="b">
        <f t="shared" si="147"/>
        <v>0</v>
      </c>
      <c r="BI115" s="624" t="b">
        <f t="shared" si="148"/>
        <v>0</v>
      </c>
      <c r="BJ115" s="624" t="b">
        <f t="shared" si="149"/>
        <v>0</v>
      </c>
      <c r="BK115" s="624" t="b">
        <f t="shared" si="150"/>
        <v>0</v>
      </c>
      <c r="BL115" s="624" t="b">
        <f t="shared" si="151"/>
        <v>0</v>
      </c>
      <c r="BM115" s="624" t="b">
        <f t="shared" si="152"/>
        <v>0</v>
      </c>
      <c r="BN115" s="624" t="b">
        <f t="shared" si="153"/>
        <v>0</v>
      </c>
      <c r="BO115" s="624" t="b">
        <f t="shared" si="154"/>
        <v>0</v>
      </c>
      <c r="BP115" s="624" t="b">
        <f t="shared" si="155"/>
        <v>0</v>
      </c>
      <c r="BQ115" s="624" t="b">
        <f t="shared" si="156"/>
        <v>0</v>
      </c>
    </row>
    <row r="116" spans="1:69">
      <c r="A116" s="1086"/>
      <c r="B116" s="872"/>
      <c r="C116" s="872"/>
      <c r="D116" s="645"/>
      <c r="E116" s="645"/>
      <c r="F116" s="644"/>
      <c r="G116" s="644"/>
      <c r="H116" s="644"/>
      <c r="I116" s="635"/>
      <c r="J116" s="644">
        <f>IF(F116&lt;=1966,'Założenia,wskaźniki, listy'!$H$4,IF(F116&gt;1966,IF(F116&lt;=1985,'Założenia,wskaźniki, listy'!$H$5,IF(F116&gt;1985,IF(F116&lt;=1992,'Założenia,wskaźniki, listy'!$H$6,IF(F116&gt;1992,IF(F116&lt;=1996,'Założenia,wskaźniki, listy'!$H$7,IF(F116&gt;1996,IF(F116&lt;=2015,'Założenia,wskaźniki, listy'!$H$8)))))))))</f>
        <v>290</v>
      </c>
      <c r="K116" s="872"/>
      <c r="L116" s="644"/>
      <c r="M116" s="644"/>
      <c r="N116" s="644"/>
      <c r="O116" s="637">
        <f t="shared" ref="O116" si="185">IF(P116&gt;0,(Q116+R116+P116)/2,Q116+R116)</f>
        <v>0</v>
      </c>
      <c r="P116" s="646">
        <f>IF(K116="kompletna",J116*G116*0.0036*'Założenia,wskaźniki, listy'!$P$9,IF(K116="częściowa",J116*G116*0.0036*'Założenia,wskaźniki, listy'!$P$10,IF(K116="brak",J116*G116*0.0036*'Założenia,wskaźniki, listy'!$P$11,0)))</f>
        <v>0</v>
      </c>
      <c r="Q116" s="638">
        <f>H116*'Założenia,wskaźniki, listy'!$L$15</f>
        <v>0</v>
      </c>
      <c r="R116" s="635">
        <f>IF(L116="węgiel",'Mieszkalne - baza'!M116*'Założenia,wskaźniki, listy'!$B$4,IF(L116="gaz",'Mieszkalne - baza'!M116*'Założenia,wskaźniki, listy'!$B$5,IF(L116="drewno",'Mieszkalne - baza'!M116*'Założenia,wskaźniki, listy'!$B$6,IF(L116="pelet",'Mieszkalne - baza'!M116*'Założenia,wskaźniki, listy'!$B$7,IF(L116="olej opałowy",'Mieszkalne - baza'!M116*'Założenia,wskaźniki, listy'!$B$8,IF(L116="sieć ciepłownicza",0,0))))))</f>
        <v>0</v>
      </c>
      <c r="S116" s="1085"/>
      <c r="T116" s="639">
        <f>IF(L116="węgiel",R116*'Założenia,wskaźniki, listy'!$C$44,IF(L116="gaz",R116*'Założenia,wskaźniki, listy'!$D$44,IF(L116="drewno",R116*'Założenia,wskaźniki, listy'!$E$44,IF(L116="pelet",R116*'Założenia,wskaźniki, listy'!$F$44,IF(L116="olej opałowy",R116*'Założenia,wskaźniki, listy'!$G$44,IF(L116="sieć ciepłownicza",0,IF(L116="prąd",0,0)))))))</f>
        <v>0</v>
      </c>
      <c r="U116" s="639">
        <f>IF(L116="węgiel",R116*'Założenia,wskaźniki, listy'!$C$45,IF(L116="gaz",R116*'Założenia,wskaźniki, listy'!$D$45,IF(L116="drewno",R116*'Założenia,wskaźniki, listy'!$E$45,IF(L116="pelet",R116*'Założenia,wskaźniki, listy'!$F$45,IF(L116="olej opałowy",R116*'Założenia,wskaźniki, listy'!$G$45,IF(L116="sieć ciepłownicza",0,IF(L116="prąd",0,0)))))))</f>
        <v>0</v>
      </c>
      <c r="V116" s="639">
        <f>IF(L116="węgiel",R116*'Założenia,wskaźniki, listy'!$C$46,IF(L116="gaz",R116*'Założenia,wskaźniki, listy'!$D$46,IF(L116="drewno",R116*'Założenia,wskaźniki, listy'!$E$46,IF(L116="pelet",R116*'Założenia,wskaźniki, listy'!$F$46,IF(L116="olej opałowy",R116*'Założenia,wskaźniki, listy'!$G$46,IF(L116="sieć ciepłownicza",R116*'Założenia,wskaźniki, listy'!$H$46,IF(L116="prąd",R116*'Założenia,wskaźniki, listy'!$I$46,0)))))))</f>
        <v>0</v>
      </c>
      <c r="W116" s="639">
        <f>IF(L116="węgiel",R116*'Założenia,wskaźniki, listy'!$C$47,IF(L116="gaz",R116*'Założenia,wskaźniki, listy'!$D$47,IF(L116="drewno",R116*'Założenia,wskaźniki, listy'!$E$47,IF(L116="pelet",R116*'Założenia,wskaźniki, listy'!$F$47,IF(L116="olej opałowy",R116*'Założenia,wskaźniki, listy'!$G$47,IF(L116="sieć ciepłownicza",0,IF(L116="prąd",0,0)))))))</f>
        <v>0</v>
      </c>
      <c r="X116" s="639">
        <f>IF(L116="węgiel",R116*'Założenia,wskaźniki, listy'!$C$48, IF(L116="gaz",R116*'Założenia,wskaźniki, listy'!$D$48,IF(L116="drewno",R116*'Założenia,wskaźniki, listy'!$E$48,IF(L116="pelet",R116*'Założenia,wskaźniki, listy'!$F$48,IF(L116="olej opałowy",R116*'Założenia,wskaźniki, listy'!$G$48,IF(L116="sieć ciepłownicza",0,IF(L116="prąd",0,0)))))))</f>
        <v>0</v>
      </c>
      <c r="Y116" s="639">
        <f>IF(L116="węgiel",R116*'Założenia,wskaźniki, listy'!$C$49, IF(L116="gaz",R116*'Założenia,wskaźniki, listy'!$D$49, IF(L116="drewno",R116*'Założenia,wskaźniki, listy'!$E$49,IF(L116="pelet",R116*'Założenia,wskaźniki, listy'!$F$49,IF(L116="olej opałowy",R116*'Założenia,wskaźniki, listy'!$G$49,IF(L116="sieć ciepłownicza",0,IF(L116="prąd",0,0)))))))</f>
        <v>0</v>
      </c>
      <c r="Z116" s="639">
        <f>IF(L116="węgiel",R116*'Założenia,wskaźniki, listy'!$C$50,IF(L116="gaz",R116*'Założenia,wskaźniki, listy'!$D$50, IF(L116="drewno",R116*'Założenia,wskaźniki, listy'!$E$50,IF(L116="pelet",R116*'Założenia,wskaźniki, listy'!$F$50,IF(L116="pelet",R116*'Założenia,wskaźniki, listy'!$F$50,IF(L116="olej opałowy",R116*'Założenia,wskaźniki, listy'!$G$50,IF(L116="sieć ciepłownicza",0,IF(L116="prąd",0,0))))))))</f>
        <v>0</v>
      </c>
      <c r="AA116" s="639">
        <f>IF(N116="węgiel",Q116*'Założenia,wskaźniki, listy'!$C$44,IF(N116="gaz",Q116*'Założenia,wskaźniki, listy'!$D$44,IF(N116="drewno",Q116*'Założenia,wskaźniki, listy'!$E$44,IF(N116="pelet",Q116*'Założenia,wskaźniki, listy'!$G$44,IF(N116="olej opałowy",Q116*'Założenia,wskaźniki, listy'!$G$44,IF(N116="sieć ciepłownicza",0,IF(N116="prąd",0,0)))))))</f>
        <v>0</v>
      </c>
      <c r="AB116" s="639">
        <f>IF(N116="węgiel",Q116*'Założenia,wskaźniki, listy'!$C$45,IF(N116="gaz",Q116*'Założenia,wskaźniki, listy'!$D$45,IF(N116="drewno",Q116*'Założenia,wskaźniki, listy'!$E$45,IF(N116="pelet",Q116*'Założenia,wskaźniki, listy'!$G$45,IF(N116="olej opałowy",Q116*'Założenia,wskaźniki, listy'!$G$45,IF(N116="sieć ciepłownicza",0,IF(N116="prąd",0,0)))))))</f>
        <v>0</v>
      </c>
      <c r="AC116" s="639">
        <f>IF(N116="węgiel",Q116*'Założenia,wskaźniki, listy'!$C$46,IF(N116="gaz",Q116*'Założenia,wskaźniki, listy'!$D$46,IF(N116="drewno",Q116*'Założenia,wskaźniki, listy'!$E$46,IF(N116="pelet",Q116*'Założenia,wskaźniki, listy'!$G$46,IF(N116="olej opałowy",Q116*'Założenia,wskaźniki, listy'!$G$46,IF(N116="sieć ciepłownicza",0,IF(N116="prąd",0,0)))))))</f>
        <v>0</v>
      </c>
      <c r="AD116" s="639">
        <f>IF(N116="węgiel",Q116*'Założenia,wskaźniki, listy'!$C$47,IF(N116="gaz",Q116*'Założenia,wskaźniki, listy'!$D$47,IF(N116="drewno",Q116*'Założenia,wskaźniki, listy'!$E$47,IF(N116="pelet",Q116*'Założenia,wskaźniki, listy'!$G$47,IF(N116="olej opałowy",Q116*'Założenia,wskaźniki, listy'!$G$47,IF(N116="sieć ciepłownicza",0,IF(N116="prąd",0,0)))))))</f>
        <v>0</v>
      </c>
      <c r="AE116" s="639">
        <f>IF(N116="węgiel",Q116*'Założenia,wskaźniki, listy'!$C$48,IF(N116="gaz",Q116*'Założenia,wskaźniki, listy'!$D$48,IF(N116="drewno",Q116*'Założenia,wskaźniki, listy'!$E$48,IF(N116="pelet",Q116*'Założenia,wskaźniki, listy'!$G$48,IF(N116="olej opałowy",Q116*'Założenia,wskaźniki, listy'!$G$48,IF(N116="sieć ciepłownicza",0,IF(N116="prąd",0,0)))))))</f>
        <v>0</v>
      </c>
      <c r="AF116" s="639">
        <f>IF(N116="węgiel",Q116*'Założenia,wskaźniki, listy'!$C$49,IF(N116="gaz",Q116*'Założenia,wskaźniki, listy'!$D$49,IF(N116="drewno",Q116*'Założenia,wskaźniki, listy'!$E$49,IF(N116="pelet",Q116*'Założenia,wskaźniki, listy'!$G$49,IF(N116="olej opałowy",Q116*'Założenia,wskaźniki, listy'!$G$49,IF(N116="sieć ciepłownicza",0,IF(N116="prąd",0,0)))))))</f>
        <v>0</v>
      </c>
      <c r="AG116" s="639">
        <f>IF(N116="węgiel",Q116*'Założenia,wskaźniki, listy'!$C$50,IF(N116="gaz",Q116*'Założenia,wskaźniki, listy'!$D$50,IF(N116="drewno",Q116*'Założenia,wskaźniki, listy'!$E$50,IF(N116="pelet",Q116*'Założenia,wskaźniki, listy'!$G$50,IF(N116="olej opałowy",Q116*'Założenia,wskaźniki, listy'!$G$50,IF(N116="sieć ciepłownicza",0,IF(N116="prąd",0,0)))))))</f>
        <v>0</v>
      </c>
      <c r="AH116" s="640">
        <f>IF(L116="węgiel",(P116+R116)/2*'Założenia,wskaźniki, listy'!$C$4,IF(L116="gaz",(P116+R116)/2*'Założenia,wskaźniki, listy'!$C$5,IF(L116="drewno",(P116+R116)/2*'Założenia,wskaźniki, listy'!$C$6,IF(L116="pelet",(P116+R116)/2*'Założenia,wskaźniki, listy'!$C$7,IF(L116="olej opałowy",(P116+R116)/2*'Założenia,wskaźniki, listy'!$C$8,IF(L116="sieć ciepłownicza",(P116+R116)/2*'Założenia,wskaźniki, listy'!$C$9,IF(L116="sieć ciepłownicza",(P116+R116)/2*'Założenia,wskaźniki, listy'!$C$10,)))))))</f>
        <v>0</v>
      </c>
      <c r="AI116" s="640">
        <f>IF(N116="węgiel",Q116*'Założenia,wskaźniki, listy'!$C$4,IF(N116="gaz",Q116*'Założenia,wskaźniki, listy'!$C$5,IF(N116="drewno",Q116*'Założenia,wskaźniki, listy'!$C$6,IF(N116="pelet",Q116*'Założenia,wskaźniki, listy'!$C$7,IF(N116="olej opałowy",Q116*'Założenia,wskaźniki, listy'!$C$8,IF(N116="sieć ciepłownicza",Q116*'Założenia,wskaźniki, listy'!$C$9,IF(N116="sieć ciepłownicza",Q116*'Założenia,wskaźniki, listy'!$C$10,0)))))))</f>
        <v>0</v>
      </c>
      <c r="AJ116" s="640">
        <f>S116*'Założenia,wskaźniki, listy'!$B$64*1000</f>
        <v>0</v>
      </c>
      <c r="AK116" s="640">
        <f>(H116+I116)*'Założenia,wskaźniki, listy'!$D$64*12</f>
        <v>0</v>
      </c>
      <c r="AL116" s="640">
        <f>AK116*'Założenia,wskaźniki, listy'!$F$64</f>
        <v>0</v>
      </c>
      <c r="AM116" s="639">
        <f t="shared" ref="AM116" si="186">T116+AA116</f>
        <v>0</v>
      </c>
      <c r="AN116" s="639">
        <f t="shared" ref="AN116" si="187">U116+AB116</f>
        <v>0</v>
      </c>
      <c r="AO116" s="639">
        <f>V116+AC116+S116*'Założenia,wskaźniki, listy'!$J$46</f>
        <v>0</v>
      </c>
      <c r="AP116" s="639">
        <f t="shared" ref="AP116" si="188">W116+AD116</f>
        <v>0</v>
      </c>
      <c r="AQ116" s="639">
        <f t="shared" ref="AQ116" si="189">X116+AE116</f>
        <v>0</v>
      </c>
      <c r="AR116" s="639">
        <f t="shared" ref="AR116" si="190">Y116+AF116</f>
        <v>0</v>
      </c>
      <c r="AS116" s="639">
        <f t="shared" ref="AS116" si="191">Z116+AG116</f>
        <v>0</v>
      </c>
      <c r="AT116" s="647"/>
      <c r="AU116" s="647"/>
      <c r="AV116" s="624">
        <f t="shared" si="135"/>
        <v>0</v>
      </c>
      <c r="AW116" s="624" t="b">
        <f t="shared" si="136"/>
        <v>0</v>
      </c>
      <c r="AX116" s="624" t="b">
        <f t="shared" si="137"/>
        <v>0</v>
      </c>
      <c r="AY116" s="624" t="b">
        <f t="shared" si="138"/>
        <v>0</v>
      </c>
      <c r="AZ116" s="624" t="b">
        <f t="shared" si="139"/>
        <v>0</v>
      </c>
      <c r="BA116" s="624" t="b">
        <f t="shared" si="140"/>
        <v>0</v>
      </c>
      <c r="BB116" s="624" t="b">
        <f t="shared" si="141"/>
        <v>0</v>
      </c>
      <c r="BC116" s="624" t="b">
        <f t="shared" si="142"/>
        <v>0</v>
      </c>
      <c r="BD116" s="624" t="b">
        <f t="shared" si="143"/>
        <v>0</v>
      </c>
      <c r="BE116" s="624" t="b">
        <f t="shared" si="144"/>
        <v>0</v>
      </c>
      <c r="BF116" s="624" t="b">
        <f t="shared" si="145"/>
        <v>0</v>
      </c>
      <c r="BG116" s="624" t="b">
        <f t="shared" si="146"/>
        <v>0</v>
      </c>
      <c r="BH116" s="624" t="b">
        <f t="shared" si="147"/>
        <v>0</v>
      </c>
      <c r="BI116" s="624" t="b">
        <f t="shared" si="148"/>
        <v>0</v>
      </c>
      <c r="BJ116" s="624" t="b">
        <f t="shared" si="149"/>
        <v>0</v>
      </c>
      <c r="BK116" s="624" t="b">
        <f t="shared" si="150"/>
        <v>0</v>
      </c>
      <c r="BL116" s="624" t="b">
        <f t="shared" si="151"/>
        <v>0</v>
      </c>
      <c r="BM116" s="624" t="b">
        <f t="shared" si="152"/>
        <v>0</v>
      </c>
      <c r="BN116" s="624" t="b">
        <f t="shared" si="153"/>
        <v>0</v>
      </c>
      <c r="BO116" s="624" t="b">
        <f t="shared" si="154"/>
        <v>0</v>
      </c>
      <c r="BP116" s="624" t="b">
        <f t="shared" si="155"/>
        <v>0</v>
      </c>
      <c r="BQ116" s="624" t="b">
        <f t="shared" si="156"/>
        <v>0</v>
      </c>
    </row>
    <row r="117" spans="1:69">
      <c r="A117" s="1086">
        <v>57</v>
      </c>
      <c r="B117" s="872" t="s">
        <v>21</v>
      </c>
      <c r="C117" s="873" t="s">
        <v>634</v>
      </c>
      <c r="D117" s="645"/>
      <c r="E117" s="645">
        <v>12</v>
      </c>
      <c r="F117" s="644">
        <v>1996</v>
      </c>
      <c r="G117" s="644">
        <v>210</v>
      </c>
      <c r="H117" s="644"/>
      <c r="I117" s="635"/>
      <c r="J117" s="644">
        <f>IF(F117&lt;=1966,'Założenia,wskaźniki, listy'!$H$4,IF(F117&gt;1966,IF(F117&lt;=1985,'Założenia,wskaźniki, listy'!$H$5,IF(F117&gt;1985,IF(F117&lt;=1992,'Założenia,wskaźniki, listy'!$H$6,IF(F117&gt;1992,IF(F117&lt;=1996,'Założenia,wskaźniki, listy'!$H$7,IF(F117&gt;1996,IF(F117&lt;=2015,'Założenia,wskaźniki, listy'!$H$8)))))))))</f>
        <v>130</v>
      </c>
      <c r="K117" s="864" t="s">
        <v>31</v>
      </c>
      <c r="L117" s="644" t="s">
        <v>8</v>
      </c>
      <c r="M117" s="644">
        <v>3.5</v>
      </c>
      <c r="N117" s="644"/>
      <c r="O117" s="637">
        <f t="shared" si="134"/>
        <v>88.707499999999996</v>
      </c>
      <c r="P117" s="646">
        <f>IF(K117="kompletna",J117*G117*0.0036*'Założenia,wskaźniki, listy'!$P$9,IF(K117="częściowa",J117*G117*0.0036*'Założenia,wskaźniki, listy'!$P$10,IF(K117="brak",J117*G117*0.0036*'Założenia,wskaźniki, listy'!$P$11,0)))</f>
        <v>98.28</v>
      </c>
      <c r="Q117" s="638">
        <f>H117*'Założenia,wskaźniki, listy'!$L$15</f>
        <v>0</v>
      </c>
      <c r="R117" s="635">
        <f>IF(L117="węgiel",'Mieszkalne - baza'!M117*'Założenia,wskaźniki, listy'!$B$4,IF(L117="gaz",'Mieszkalne - baza'!M117*'Założenia,wskaźniki, listy'!$B$5,IF(L117="drewno",'Mieszkalne - baza'!M117*'Założenia,wskaźniki, listy'!$B$6,IF(L117="pelet",'Mieszkalne - baza'!M117*'Założenia,wskaźniki, listy'!$B$7,IF(L117="olej opałowy",'Mieszkalne - baza'!M117*'Założenia,wskaźniki, listy'!$B$8,IF(L117="sieć ciepłownicza",0,0))))))</f>
        <v>79.134999999999991</v>
      </c>
      <c r="S117" s="1084">
        <v>1.6919999999999999</v>
      </c>
      <c r="T117" s="639">
        <f>IF(L117="węgiel",R117*'Założenia,wskaźniki, listy'!$C$44,IF(L117="gaz",R117*'Założenia,wskaźniki, listy'!$D$44,IF(L117="drewno",R117*'Założenia,wskaźniki, listy'!$E$44,IF(L117="pelet",R117*'Założenia,wskaźniki, listy'!$F$44,IF(L117="olej opałowy",R117*'Założenia,wskaźniki, listy'!$G$44,IF(L117="sieć ciepłownicza",0,IF(L117="prąd",0,0)))))))</f>
        <v>1.7805374999999998E-2</v>
      </c>
      <c r="U117" s="639">
        <f>IF(L117="węgiel",R117*'Założenia,wskaźniki, listy'!$C$45,IF(L117="gaz",R117*'Założenia,wskaźniki, listy'!$D$45,IF(L117="drewno",R117*'Założenia,wskaźniki, listy'!$E$45,IF(L117="pelet",R117*'Założenia,wskaźniki, listy'!$F$45,IF(L117="olej opałowy",R117*'Założenia,wskaźniki, listy'!$G$45,IF(L117="sieć ciepłownicza",0,IF(L117="prąd",0,0)))))))</f>
        <v>1.5906134999999998E-2</v>
      </c>
      <c r="V117" s="639">
        <f>IF(L117="węgiel",R117*'Założenia,wskaźniki, listy'!$C$46,IF(L117="gaz",R117*'Założenia,wskaźniki, listy'!$D$46,IF(L117="drewno",R117*'Założenia,wskaźniki, listy'!$E$46,IF(L117="pelet",R117*'Założenia,wskaźniki, listy'!$F$46,IF(L117="olej opałowy",R117*'Założenia,wskaźniki, listy'!$G$46,IF(L117="sieć ciepłownicza",R117*'Założenia,wskaźniki, listy'!$H$46,IF(L117="prąd",R117*'Założenia,wskaźniki, listy'!$I$46,0)))))))</f>
        <v>7.4181148999999982</v>
      </c>
      <c r="W117" s="639">
        <f>IF(L117="węgiel",R117*'Założenia,wskaźniki, listy'!$C$47,IF(L117="gaz",R117*'Założenia,wskaźniki, listy'!$D$47,IF(L117="drewno",R117*'Założenia,wskaźniki, listy'!$E$47,IF(L117="pelet",R117*'Założenia,wskaźniki, listy'!$F$47,IF(L117="olej opałowy",R117*'Założenia,wskaźniki, listy'!$G$47,IF(L117="sieć ciepłownicza",0,IF(L117="prąd",0,0)))))))</f>
        <v>2.1366449999999999E-5</v>
      </c>
      <c r="X117" s="639">
        <f>IF(L117="węgiel",R117*'Założenia,wskaźniki, listy'!$C$48, IF(L117="gaz",R117*'Założenia,wskaźniki, listy'!$D$48,IF(L117="drewno",R117*'Założenia,wskaźniki, listy'!$E$48,IF(L117="pelet",R117*'Założenia,wskaźniki, listy'!$F$48,IF(L117="olej opałowy",R117*'Założenia,wskaźniki, listy'!$G$48,IF(L117="sieć ciepłownicza",0,IF(L117="prąd",0,0)))))))</f>
        <v>7.1221499999999993E-2</v>
      </c>
      <c r="Y117" s="639">
        <f>IF(L117="węgiel",R117*'Założenia,wskaźniki, listy'!$C$49, IF(L117="gaz",R117*'Założenia,wskaźniki, listy'!$D$49, IF(L117="drewno",R117*'Założenia,wskaźniki, listy'!$E$49,IF(L117="pelet",R117*'Założenia,wskaźniki, listy'!$F$49,IF(L117="olej opałowy",R117*'Założenia,wskaźniki, listy'!$G$49,IF(L117="sieć ciepłownicza",0,IF(L117="prąd",0,0)))))))</f>
        <v>1.2503329999999998E-2</v>
      </c>
      <c r="Z117" s="639">
        <f>IF(L117="węgiel",R117*'Założenia,wskaźniki, listy'!$C$50,IF(L117="gaz",R117*'Założenia,wskaźniki, listy'!$D$50, IF(L117="drewno",R117*'Założenia,wskaźniki, listy'!$E$50,IF(L117="pelet",R117*'Założenia,wskaźniki, listy'!$F$50,IF(L117="pelet",R117*'Założenia,wskaźniki, listy'!$F$50,IF(L117="olej opałowy",R117*'Założenia,wskaźniki, listy'!$G$50,IF(L117="sieć ciepłownicza",0,IF(L117="prąd",0,0))))))))</f>
        <v>0.15918976307554758</v>
      </c>
      <c r="AA117" s="639">
        <f>IF(N117="węgiel",Q117*'Założenia,wskaźniki, listy'!$C$44,IF(N117="gaz",Q117*'Założenia,wskaźniki, listy'!$D$44,IF(N117="drewno",Q117*'Założenia,wskaźniki, listy'!$E$44,IF(N117="pelet",Q117*'Założenia,wskaźniki, listy'!$G$44,IF(N117="olej opałowy",Q117*'Założenia,wskaźniki, listy'!$G$44,IF(N117="sieć ciepłownicza",0,IF(N117="prąd",0,0)))))))</f>
        <v>0</v>
      </c>
      <c r="AB117" s="639">
        <f>IF(N117="węgiel",Q117*'Założenia,wskaźniki, listy'!$C$45,IF(N117="gaz",Q117*'Założenia,wskaźniki, listy'!$D$45,IF(N117="drewno",Q117*'Założenia,wskaźniki, listy'!$E$45,IF(N117="pelet",Q117*'Założenia,wskaźniki, listy'!$G$45,IF(N117="olej opałowy",Q117*'Założenia,wskaźniki, listy'!$G$45,IF(N117="sieć ciepłownicza",0,IF(N117="prąd",0,0)))))))</f>
        <v>0</v>
      </c>
      <c r="AC117" s="639">
        <f>IF(N117="węgiel",Q117*'Założenia,wskaźniki, listy'!$C$46,IF(N117="gaz",Q117*'Założenia,wskaźniki, listy'!$D$46,IF(N117="drewno",Q117*'Założenia,wskaźniki, listy'!$E$46,IF(N117="pelet",Q117*'Założenia,wskaźniki, listy'!$G$46,IF(N117="olej opałowy",Q117*'Założenia,wskaźniki, listy'!$G$46,IF(N117="sieć ciepłownicza",0,IF(N117="prąd",0,0)))))))</f>
        <v>0</v>
      </c>
      <c r="AD117" s="639">
        <f>IF(N117="węgiel",Q117*'Założenia,wskaźniki, listy'!$C$47,IF(N117="gaz",Q117*'Założenia,wskaźniki, listy'!$D$47,IF(N117="drewno",Q117*'Założenia,wskaźniki, listy'!$E$47,IF(N117="pelet",Q117*'Założenia,wskaźniki, listy'!$G$47,IF(N117="olej opałowy",Q117*'Założenia,wskaźniki, listy'!$G$47,IF(N117="sieć ciepłownicza",0,IF(N117="prąd",0,0)))))))</f>
        <v>0</v>
      </c>
      <c r="AE117" s="639">
        <f>IF(N117="węgiel",Q117*'Założenia,wskaźniki, listy'!$C$48,IF(N117="gaz",Q117*'Założenia,wskaźniki, listy'!$D$48,IF(N117="drewno",Q117*'Założenia,wskaźniki, listy'!$E$48,IF(N117="pelet",Q117*'Założenia,wskaźniki, listy'!$G$48,IF(N117="olej opałowy",Q117*'Założenia,wskaźniki, listy'!$G$48,IF(N117="sieć ciepłownicza",0,IF(N117="prąd",0,0)))))))</f>
        <v>0</v>
      </c>
      <c r="AF117" s="639">
        <f>IF(N117="węgiel",Q117*'Założenia,wskaźniki, listy'!$C$49,IF(N117="gaz",Q117*'Założenia,wskaźniki, listy'!$D$49,IF(N117="drewno",Q117*'Założenia,wskaźniki, listy'!$E$49,IF(N117="pelet",Q117*'Założenia,wskaźniki, listy'!$G$49,IF(N117="olej opałowy",Q117*'Założenia,wskaźniki, listy'!$G$49,IF(N117="sieć ciepłownicza",0,IF(N117="prąd",0,0)))))))</f>
        <v>0</v>
      </c>
      <c r="AG117" s="639">
        <f>IF(N117="węgiel",Q117*'Założenia,wskaźniki, listy'!$C$50,IF(N117="gaz",Q117*'Założenia,wskaźniki, listy'!$D$50,IF(N117="drewno",Q117*'Założenia,wskaźniki, listy'!$E$50,IF(N117="pelet",Q117*'Założenia,wskaźniki, listy'!$G$50,IF(N117="olej opałowy",Q117*'Założenia,wskaźniki, listy'!$G$50,IF(N117="sieć ciepłownicza",0,IF(N117="prąd",0,0)))))))</f>
        <v>0</v>
      </c>
      <c r="AH117" s="640">
        <f>IF(L117="węgiel",(P117+R117)/2*'Założenia,wskaźniki, listy'!$C$4,IF(L117="gaz",(P117+R117)/2*'Założenia,wskaźniki, listy'!$C$5,IF(L117="drewno",(P117+R117)/2*'Założenia,wskaźniki, listy'!$C$6,IF(L117="pelet",(P117+R117)/2*'Założenia,wskaźniki, listy'!$C$7,IF(L117="olej opałowy",(P117+R117)/2*'Założenia,wskaźniki, listy'!$C$8,IF(L117="sieć ciepłownicza",(P117+R117)/2*'Założenia,wskaźniki, listy'!$C$9,IF(L117="sieć ciepłownicza",(P117+R117)/2*'Założenia,wskaźniki, listy'!$C$10,)))))))</f>
        <v>3637.0074999999997</v>
      </c>
      <c r="AI117" s="640">
        <f>IF(N117="węgiel",Q117*'Założenia,wskaźniki, listy'!$C$4,IF(N117="gaz",Q117*'Założenia,wskaźniki, listy'!$C$5,IF(N117="drewno",Q117*'Założenia,wskaźniki, listy'!$C$6,IF(N117="pelet",Q117*'Założenia,wskaźniki, listy'!$C$7,IF(N117="olej opałowy",Q117*'Założenia,wskaźniki, listy'!$C$8,IF(N117="sieć ciepłownicza",Q117*'Założenia,wskaźniki, listy'!$C$9,IF(N117="sieć ciepłownicza",Q117*'Założenia,wskaźniki, listy'!$C$10,0)))))))</f>
        <v>0</v>
      </c>
      <c r="AJ117" s="640">
        <f>S117*'Założenia,wskaźniki, listy'!$B$64*1000</f>
        <v>1201.32</v>
      </c>
      <c r="AK117" s="640">
        <f>(H117+I117)*'Założenia,wskaźniki, listy'!$D$64*12</f>
        <v>0</v>
      </c>
      <c r="AL117" s="640">
        <f>AK117*'Założenia,wskaźniki, listy'!$F$64</f>
        <v>0</v>
      </c>
      <c r="AM117" s="639">
        <f t="shared" si="128"/>
        <v>1.7805374999999998E-2</v>
      </c>
      <c r="AN117" s="639">
        <f t="shared" si="129"/>
        <v>1.5906134999999998E-2</v>
      </c>
      <c r="AO117" s="639">
        <f>V117+AC117+S117*'Założenia,wskaźniki, listy'!$J$46</f>
        <v>8.8250128999999973</v>
      </c>
      <c r="AP117" s="639">
        <f t="shared" si="130"/>
        <v>2.1366449999999999E-5</v>
      </c>
      <c r="AQ117" s="639">
        <f t="shared" si="131"/>
        <v>7.1221499999999993E-2</v>
      </c>
      <c r="AR117" s="639">
        <f t="shared" si="132"/>
        <v>1.2503329999999998E-2</v>
      </c>
      <c r="AS117" s="639">
        <f t="shared" si="133"/>
        <v>0.15918976307554758</v>
      </c>
      <c r="AT117" s="647"/>
      <c r="AU117" s="647"/>
      <c r="AV117" s="624" t="b">
        <f t="shared" si="135"/>
        <v>0</v>
      </c>
      <c r="AW117" s="624" t="b">
        <f t="shared" si="136"/>
        <v>0</v>
      </c>
      <c r="AX117" s="624" t="b">
        <f t="shared" si="137"/>
        <v>0</v>
      </c>
      <c r="AY117" s="624" t="b">
        <f t="shared" si="138"/>
        <v>0</v>
      </c>
      <c r="AZ117" s="624" t="b">
        <f t="shared" si="139"/>
        <v>0</v>
      </c>
      <c r="BA117" s="624" t="b">
        <f t="shared" si="140"/>
        <v>0</v>
      </c>
      <c r="BB117" s="624">
        <f t="shared" si="141"/>
        <v>210</v>
      </c>
      <c r="BC117" s="624" t="b">
        <f t="shared" si="142"/>
        <v>0</v>
      </c>
      <c r="BD117" s="624" t="b">
        <f t="shared" si="143"/>
        <v>0</v>
      </c>
      <c r="BE117" s="624" t="b">
        <f t="shared" si="144"/>
        <v>0</v>
      </c>
      <c r="BF117" s="624">
        <f t="shared" si="145"/>
        <v>79.134999999999991</v>
      </c>
      <c r="BG117" s="624" t="b">
        <f t="shared" si="146"/>
        <v>0</v>
      </c>
      <c r="BH117" s="624" t="b">
        <f t="shared" si="147"/>
        <v>0</v>
      </c>
      <c r="BI117" s="624" t="b">
        <f t="shared" si="148"/>
        <v>0</v>
      </c>
      <c r="BJ117" s="624" t="b">
        <f t="shared" si="149"/>
        <v>0</v>
      </c>
      <c r="BK117" s="624" t="b">
        <f t="shared" si="150"/>
        <v>0</v>
      </c>
      <c r="BL117" s="624" t="b">
        <f t="shared" si="151"/>
        <v>0</v>
      </c>
      <c r="BM117" s="624" t="b">
        <f t="shared" si="152"/>
        <v>0</v>
      </c>
      <c r="BN117" s="624" t="b">
        <f t="shared" si="153"/>
        <v>0</v>
      </c>
      <c r="BO117" s="624" t="b">
        <f t="shared" si="154"/>
        <v>0</v>
      </c>
      <c r="BP117" s="624" t="b">
        <f t="shared" si="155"/>
        <v>0</v>
      </c>
      <c r="BQ117" s="624" t="b">
        <f t="shared" si="156"/>
        <v>0</v>
      </c>
    </row>
    <row r="118" spans="1:69">
      <c r="A118" s="1086"/>
      <c r="B118" s="872"/>
      <c r="C118" s="872"/>
      <c r="D118" s="645"/>
      <c r="E118" s="645"/>
      <c r="F118" s="644"/>
      <c r="G118" s="644"/>
      <c r="H118" s="644"/>
      <c r="I118" s="635"/>
      <c r="J118" s="644">
        <f>IF(F118&lt;=1966,'Założenia,wskaźniki, listy'!$H$4,IF(F118&gt;1966,IF(F118&lt;=1985,'Założenia,wskaźniki, listy'!$H$5,IF(F118&gt;1985,IF(F118&lt;=1992,'Założenia,wskaźniki, listy'!$H$6,IF(F118&gt;1992,IF(F118&lt;=1996,'Założenia,wskaźniki, listy'!$H$7,IF(F118&gt;1996,IF(F118&lt;=2015,'Założenia,wskaźniki, listy'!$H$8)))))))))</f>
        <v>290</v>
      </c>
      <c r="K118" s="872"/>
      <c r="L118" s="644" t="s">
        <v>79</v>
      </c>
      <c r="M118" s="644">
        <v>1</v>
      </c>
      <c r="N118" s="644"/>
      <c r="O118" s="637">
        <f t="shared" ref="O118" si="192">IF(P118&gt;0,(Q118+R118+P118)/2,Q118+R118)</f>
        <v>15</v>
      </c>
      <c r="P118" s="646">
        <f>IF(K118="kompletna",J118*G118*0.0036*'Założenia,wskaźniki, listy'!$P$9,IF(K118="częściowa",J118*G118*0.0036*'Założenia,wskaźniki, listy'!$P$10,IF(K118="brak",J118*G118*0.0036*'Założenia,wskaźniki, listy'!$P$11,0)))</f>
        <v>0</v>
      </c>
      <c r="Q118" s="638">
        <f>H118*'Założenia,wskaźniki, listy'!$L$15</f>
        <v>0</v>
      </c>
      <c r="R118" s="635">
        <f>IF(L118="węgiel",'Mieszkalne - baza'!M118*'Założenia,wskaźniki, listy'!$B$4,IF(L118="gaz",'Mieszkalne - baza'!M118*'Założenia,wskaźniki, listy'!$B$5,IF(L118="drewno",'Mieszkalne - baza'!M118*'Założenia,wskaźniki, listy'!$B$6,IF(L118="pelet",'Mieszkalne - baza'!M118*'Założenia,wskaźniki, listy'!$B$7,IF(L118="olej opałowy",'Mieszkalne - baza'!M118*'Założenia,wskaźniki, listy'!$B$8,IF(L118="sieć ciepłownicza",0,0))))))</f>
        <v>15</v>
      </c>
      <c r="S118" s="1085"/>
      <c r="T118" s="639">
        <f>IF(L118="węgiel",R118*'Założenia,wskaźniki, listy'!$C$44,IF(L118="gaz",R118*'Założenia,wskaźniki, listy'!$D$44,IF(L118="drewno",R118*'Założenia,wskaźniki, listy'!$E$44,IF(L118="pelet",R118*'Założenia,wskaźniki, listy'!$F$44,IF(L118="olej opałowy",R118*'Założenia,wskaźniki, listy'!$G$44,IF(L118="sieć ciepłownicza",0,IF(L118="prąd",0,0)))))))</f>
        <v>7.1999999999999998E-3</v>
      </c>
      <c r="U118" s="639">
        <f>IF(L118="węgiel",R118*'Założenia,wskaźniki, listy'!$C$45,IF(L118="gaz",R118*'Założenia,wskaźniki, listy'!$D$45,IF(L118="drewno",R118*'Założenia,wskaźniki, listy'!$E$45,IF(L118="pelet",R118*'Założenia,wskaźniki, listy'!$F$45,IF(L118="olej opałowy",R118*'Założenia,wskaźniki, listy'!$G$45,IF(L118="sieć ciepłownicza",0,IF(L118="prąd",0,0)))))))</f>
        <v>7.0499999999999998E-3</v>
      </c>
      <c r="V118" s="639">
        <f>IF(L118="węgiel",R118*'Założenia,wskaźniki, listy'!$C$46,IF(L118="gaz",R118*'Założenia,wskaźniki, listy'!$D$46,IF(L118="drewno",R118*'Założenia,wskaźniki, listy'!$E$46,IF(L118="pelet",R118*'Założenia,wskaźniki, listy'!$F$46,IF(L118="olej opałowy",R118*'Założenia,wskaźniki, listy'!$G$46,IF(L118="sieć ciepłownicza",R118*'Założenia,wskaźniki, listy'!$H$46,IF(L118="prąd",R118*'Założenia,wskaźniki, listy'!$I$46,0)))))))</f>
        <v>0</v>
      </c>
      <c r="W118" s="639">
        <f>IF(L118="węgiel",R118*'Założenia,wskaźniki, listy'!$C$47,IF(L118="gaz",R118*'Założenia,wskaźniki, listy'!$D$47,IF(L118="drewno",R118*'Założenia,wskaźniki, listy'!$E$47,IF(L118="pelet",R118*'Założenia,wskaźniki, listy'!$F$47,IF(L118="olej opałowy",R118*'Założenia,wskaźniki, listy'!$G$47,IF(L118="sieć ciepłownicza",0,IF(L118="prąd",0,0)))))))</f>
        <v>1.8150000000000002E-6</v>
      </c>
      <c r="X118" s="639">
        <f>IF(L118="węgiel",R118*'Założenia,wskaźniki, listy'!$C$48, IF(L118="gaz",R118*'Założenia,wskaźniki, listy'!$D$48,IF(L118="drewno",R118*'Założenia,wskaźniki, listy'!$E$48,IF(L118="pelet",R118*'Założenia,wskaźniki, listy'!$F$48,IF(L118="olej opałowy",R118*'Założenia,wskaźniki, listy'!$G$48,IF(L118="sieć ciepłownicza",0,IF(L118="prąd",0,0)))))))</f>
        <v>1.65E-4</v>
      </c>
      <c r="Y118" s="639">
        <f>IF(L118="węgiel",R118*'Założenia,wskaźniki, listy'!$C$49, IF(L118="gaz",R118*'Założenia,wskaźniki, listy'!$D$49, IF(L118="drewno",R118*'Założenia,wskaźniki, listy'!$E$49,IF(L118="pelet",R118*'Założenia,wskaźniki, listy'!$F$49,IF(L118="olej opałowy",R118*'Założenia,wskaźniki, listy'!$G$49,IF(L118="sieć ciepłownicza",0,IF(L118="prąd",0,0)))))))</f>
        <v>1.2000000000000001E-3</v>
      </c>
      <c r="Z118" s="639">
        <f>IF(L118="węgiel",R118*'Założenia,wskaźniki, listy'!$C$50,IF(L118="gaz",R118*'Założenia,wskaźniki, listy'!$D$50, IF(L118="drewno",R118*'Założenia,wskaźniki, listy'!$E$50,IF(L118="pelet",R118*'Założenia,wskaźniki, listy'!$F$50,IF(L118="pelet",R118*'Założenia,wskaźniki, listy'!$F$50,IF(L118="olej opałowy",R118*'Założenia,wskaźniki, listy'!$G$50,IF(L118="sieć ciepłownicza",0,IF(L118="prąd",0,0))))))))</f>
        <v>2.6909999999999998E-3</v>
      </c>
      <c r="AA118" s="639">
        <f>IF(N118="węgiel",Q118*'Założenia,wskaźniki, listy'!$C$44,IF(N118="gaz",Q118*'Założenia,wskaźniki, listy'!$D$44,IF(N118="drewno",Q118*'Założenia,wskaźniki, listy'!$E$44,IF(N118="pelet",Q118*'Założenia,wskaźniki, listy'!$G$44,IF(N118="olej opałowy",Q118*'Założenia,wskaźniki, listy'!$G$44,IF(N118="sieć ciepłownicza",0,IF(N118="prąd",0,0)))))))</f>
        <v>0</v>
      </c>
      <c r="AB118" s="639">
        <f>IF(N118="węgiel",Q118*'Założenia,wskaźniki, listy'!$C$45,IF(N118="gaz",Q118*'Założenia,wskaźniki, listy'!$D$45,IF(N118="drewno",Q118*'Założenia,wskaźniki, listy'!$E$45,IF(N118="pelet",Q118*'Założenia,wskaźniki, listy'!$G$45,IF(N118="olej opałowy",Q118*'Założenia,wskaźniki, listy'!$G$45,IF(N118="sieć ciepłownicza",0,IF(N118="prąd",0,0)))))))</f>
        <v>0</v>
      </c>
      <c r="AC118" s="639">
        <f>IF(N118="węgiel",Q118*'Założenia,wskaźniki, listy'!$C$46,IF(N118="gaz",Q118*'Założenia,wskaźniki, listy'!$D$46,IF(N118="drewno",Q118*'Założenia,wskaźniki, listy'!$E$46,IF(N118="pelet",Q118*'Założenia,wskaźniki, listy'!$G$46,IF(N118="olej opałowy",Q118*'Założenia,wskaźniki, listy'!$G$46,IF(N118="sieć ciepłownicza",0,IF(N118="prąd",0,0)))))))</f>
        <v>0</v>
      </c>
      <c r="AD118" s="639">
        <f>IF(N118="węgiel",Q118*'Założenia,wskaźniki, listy'!$C$47,IF(N118="gaz",Q118*'Założenia,wskaźniki, listy'!$D$47,IF(N118="drewno",Q118*'Założenia,wskaźniki, listy'!$E$47,IF(N118="pelet",Q118*'Założenia,wskaźniki, listy'!$G$47,IF(N118="olej opałowy",Q118*'Założenia,wskaźniki, listy'!$G$47,IF(N118="sieć ciepłownicza",0,IF(N118="prąd",0,0)))))))</f>
        <v>0</v>
      </c>
      <c r="AE118" s="639">
        <f>IF(N118="węgiel",Q118*'Założenia,wskaźniki, listy'!$C$48,IF(N118="gaz",Q118*'Założenia,wskaźniki, listy'!$D$48,IF(N118="drewno",Q118*'Założenia,wskaźniki, listy'!$E$48,IF(N118="pelet",Q118*'Założenia,wskaźniki, listy'!$G$48,IF(N118="olej opałowy",Q118*'Założenia,wskaźniki, listy'!$G$48,IF(N118="sieć ciepłownicza",0,IF(N118="prąd",0,0)))))))</f>
        <v>0</v>
      </c>
      <c r="AF118" s="639">
        <f>IF(N118="węgiel",Q118*'Założenia,wskaźniki, listy'!$C$49,IF(N118="gaz",Q118*'Założenia,wskaźniki, listy'!$D$49,IF(N118="drewno",Q118*'Założenia,wskaźniki, listy'!$E$49,IF(N118="pelet",Q118*'Założenia,wskaźniki, listy'!$G$49,IF(N118="olej opałowy",Q118*'Założenia,wskaźniki, listy'!$G$49,IF(N118="sieć ciepłownicza",0,IF(N118="prąd",0,0)))))))</f>
        <v>0</v>
      </c>
      <c r="AG118" s="639">
        <f>IF(N118="węgiel",Q118*'Założenia,wskaźniki, listy'!$C$50,IF(N118="gaz",Q118*'Założenia,wskaźniki, listy'!$D$50,IF(N118="drewno",Q118*'Założenia,wskaźniki, listy'!$E$50,IF(N118="pelet",Q118*'Założenia,wskaźniki, listy'!$G$50,IF(N118="olej opałowy",Q118*'Założenia,wskaźniki, listy'!$G$50,IF(N118="sieć ciepłownicza",0,IF(N118="prąd",0,0)))))))</f>
        <v>0</v>
      </c>
      <c r="AH118" s="640">
        <f>IF(L118="węgiel",(P118+R118)/2*'Założenia,wskaźniki, listy'!$C$4,IF(L118="gaz",(P118+R118)/2*'Założenia,wskaźniki, listy'!$C$5,IF(L118="drewno",(P118+R118)/2*'Założenia,wskaźniki, listy'!$C$6,IF(L118="pelet",(P118+R118)/2*'Założenia,wskaźniki, listy'!$C$7,IF(L118="olej opałowy",(P118+R118)/2*'Założenia,wskaźniki, listy'!$C$8,IF(L118="sieć ciepłownicza",(P118+R118)/2*'Założenia,wskaźniki, listy'!$C$9,IF(L118="sieć ciepłownicza",(P118+R118)/2*'Założenia,wskaźniki, listy'!$C$10,)))))))</f>
        <v>285</v>
      </c>
      <c r="AI118" s="640">
        <f>IF(N118="węgiel",Q118*'Założenia,wskaźniki, listy'!$C$4,IF(N118="gaz",Q118*'Założenia,wskaźniki, listy'!$C$5,IF(N118="drewno",Q118*'Założenia,wskaźniki, listy'!$C$6,IF(N118="pelet",Q118*'Założenia,wskaźniki, listy'!$C$7,IF(N118="olej opałowy",Q118*'Założenia,wskaźniki, listy'!$C$8,IF(N118="sieć ciepłownicza",Q118*'Założenia,wskaźniki, listy'!$C$9,IF(N118="sieć ciepłownicza",Q118*'Założenia,wskaźniki, listy'!$C$10,0)))))))</f>
        <v>0</v>
      </c>
      <c r="AJ118" s="640">
        <f>S118*'Założenia,wskaźniki, listy'!$B$64*1000</f>
        <v>0</v>
      </c>
      <c r="AK118" s="640">
        <f>(H118+I118)*'Założenia,wskaźniki, listy'!$D$64*12</f>
        <v>0</v>
      </c>
      <c r="AL118" s="640">
        <f>AK118*'Założenia,wskaźniki, listy'!$F$64</f>
        <v>0</v>
      </c>
      <c r="AM118" s="639">
        <f t="shared" ref="AM118" si="193">T118+AA118</f>
        <v>7.1999999999999998E-3</v>
      </c>
      <c r="AN118" s="639">
        <f t="shared" ref="AN118" si="194">U118+AB118</f>
        <v>7.0499999999999998E-3</v>
      </c>
      <c r="AO118" s="639">
        <f>V118+AC118+S118*'Założenia,wskaźniki, listy'!$J$46</f>
        <v>0</v>
      </c>
      <c r="AP118" s="639">
        <f t="shared" ref="AP118" si="195">W118+AD118</f>
        <v>1.8150000000000002E-6</v>
      </c>
      <c r="AQ118" s="639">
        <f t="shared" ref="AQ118" si="196">X118+AE118</f>
        <v>1.65E-4</v>
      </c>
      <c r="AR118" s="639">
        <f t="shared" ref="AR118" si="197">Y118+AF118</f>
        <v>1.2000000000000001E-3</v>
      </c>
      <c r="AS118" s="639">
        <f t="shared" ref="AS118" si="198">Z118+AG118</f>
        <v>2.6909999999999998E-3</v>
      </c>
      <c r="AT118" s="647"/>
      <c r="AU118" s="647"/>
      <c r="AV118" s="624">
        <f t="shared" si="135"/>
        <v>0</v>
      </c>
      <c r="AW118" s="624" t="b">
        <f t="shared" si="136"/>
        <v>0</v>
      </c>
      <c r="AX118" s="624" t="b">
        <f t="shared" si="137"/>
        <v>0</v>
      </c>
      <c r="AY118" s="624" t="b">
        <f t="shared" si="138"/>
        <v>0</v>
      </c>
      <c r="AZ118" s="624" t="b">
        <f t="shared" si="139"/>
        <v>0</v>
      </c>
      <c r="BA118" s="624" t="b">
        <f t="shared" si="140"/>
        <v>0</v>
      </c>
      <c r="BB118" s="624" t="b">
        <f t="shared" si="141"/>
        <v>0</v>
      </c>
      <c r="BC118" s="624" t="b">
        <f t="shared" si="142"/>
        <v>0</v>
      </c>
      <c r="BD118" s="624" t="b">
        <f t="shared" si="143"/>
        <v>0</v>
      </c>
      <c r="BE118" s="624" t="b">
        <f t="shared" si="144"/>
        <v>0</v>
      </c>
      <c r="BF118" s="624" t="b">
        <f t="shared" si="145"/>
        <v>0</v>
      </c>
      <c r="BG118" s="624" t="b">
        <f t="shared" si="146"/>
        <v>0</v>
      </c>
      <c r="BH118" s="624">
        <f t="shared" si="147"/>
        <v>15</v>
      </c>
      <c r="BI118" s="624" t="b">
        <f t="shared" si="148"/>
        <v>0</v>
      </c>
      <c r="BJ118" s="624" t="b">
        <f t="shared" si="149"/>
        <v>0</v>
      </c>
      <c r="BK118" s="624" t="b">
        <f t="shared" si="150"/>
        <v>0</v>
      </c>
      <c r="BL118" s="624" t="b">
        <f t="shared" si="151"/>
        <v>0</v>
      </c>
      <c r="BM118" s="624" t="b">
        <f t="shared" si="152"/>
        <v>0</v>
      </c>
      <c r="BN118" s="624" t="b">
        <f t="shared" si="153"/>
        <v>0</v>
      </c>
      <c r="BO118" s="624" t="b">
        <f t="shared" si="154"/>
        <v>0</v>
      </c>
      <c r="BP118" s="624" t="b">
        <f t="shared" si="155"/>
        <v>0</v>
      </c>
      <c r="BQ118" s="624" t="b">
        <f t="shared" si="156"/>
        <v>0</v>
      </c>
    </row>
    <row r="119" spans="1:69">
      <c r="A119" s="1086">
        <v>58</v>
      </c>
      <c r="B119" s="872" t="s">
        <v>21</v>
      </c>
      <c r="C119" s="873" t="s">
        <v>634</v>
      </c>
      <c r="D119" s="645"/>
      <c r="E119" s="645">
        <v>15</v>
      </c>
      <c r="F119" s="644">
        <v>1972</v>
      </c>
      <c r="G119" s="644">
        <v>140</v>
      </c>
      <c r="H119" s="644"/>
      <c r="I119" s="635"/>
      <c r="J119" s="644">
        <f>IF(F119&lt;=1966,'Założenia,wskaźniki, listy'!$H$4,IF(F119&gt;1966,IF(F119&lt;=1985,'Założenia,wskaźniki, listy'!$H$5,IF(F119&gt;1985,IF(F119&lt;=1992,'Założenia,wskaźniki, listy'!$H$6,IF(F119&gt;1992,IF(F119&lt;=1996,'Założenia,wskaźniki, listy'!$H$7,IF(F119&gt;1996,IF(F119&lt;=2015,'Założenia,wskaźniki, listy'!$H$8)))))))))</f>
        <v>250</v>
      </c>
      <c r="K119" s="864" t="s">
        <v>31</v>
      </c>
      <c r="L119" s="872" t="s">
        <v>8</v>
      </c>
      <c r="M119" s="872">
        <v>4</v>
      </c>
      <c r="N119" s="644"/>
      <c r="O119" s="637">
        <f t="shared" si="134"/>
        <v>108.22</v>
      </c>
      <c r="P119" s="646">
        <f>IF(K119="kompletna",J119*G119*0.0036*'Założenia,wskaźniki, listy'!$P$9,IF(K119="częściowa",J119*G119*0.0036*'Założenia,wskaźniki, listy'!$P$10,IF(K119="brak",J119*G119*0.0036*'Założenia,wskaźniki, listy'!$P$11,0)))</f>
        <v>126</v>
      </c>
      <c r="Q119" s="638">
        <f>H119*'Założenia,wskaźniki, listy'!$L$15</f>
        <v>0</v>
      </c>
      <c r="R119" s="635">
        <f>IF(L119="węgiel",'Mieszkalne - baza'!M119*'Założenia,wskaźniki, listy'!$B$4,IF(L119="gaz",'Mieszkalne - baza'!M119*'Założenia,wskaźniki, listy'!$B$5,IF(L119="drewno",'Mieszkalne - baza'!M119*'Założenia,wskaźniki, listy'!$B$6,IF(L119="pelet",'Mieszkalne - baza'!M119*'Założenia,wskaźniki, listy'!$B$7,IF(L119="olej opałowy",'Mieszkalne - baza'!M119*'Założenia,wskaźniki, listy'!$B$8,IF(L119="sieć ciepłownicza",0,0))))))</f>
        <v>90.44</v>
      </c>
      <c r="S119" s="1084">
        <v>2.0304000000000002</v>
      </c>
      <c r="T119" s="639">
        <f>IF(L119="węgiel",R119*'Założenia,wskaźniki, listy'!$C$44,IF(L119="gaz",R119*'Założenia,wskaźniki, listy'!$D$44,IF(L119="drewno",R119*'Założenia,wskaźniki, listy'!$E$44,IF(L119="pelet",R119*'Założenia,wskaźniki, listy'!$F$44,IF(L119="olej opałowy",R119*'Założenia,wskaźniki, listy'!$G$44,IF(L119="sieć ciepłownicza",0,IF(L119="prąd",0,0)))))))</f>
        <v>2.0348999999999999E-2</v>
      </c>
      <c r="U119" s="639">
        <f>IF(L119="węgiel",R119*'Założenia,wskaźniki, listy'!$C$45,IF(L119="gaz",R119*'Założenia,wskaźniki, listy'!$D$45,IF(L119="drewno",R119*'Założenia,wskaźniki, listy'!$E$45,IF(L119="pelet",R119*'Założenia,wskaźniki, listy'!$F$45,IF(L119="olej opałowy",R119*'Założenia,wskaźniki, listy'!$G$45,IF(L119="sieć ciepłownicza",0,IF(L119="prąd",0,0)))))))</f>
        <v>1.8178440000000001E-2</v>
      </c>
      <c r="V119" s="639">
        <f>IF(L119="węgiel",R119*'Założenia,wskaźniki, listy'!$C$46,IF(L119="gaz",R119*'Założenia,wskaźniki, listy'!$D$46,IF(L119="drewno",R119*'Założenia,wskaźniki, listy'!$E$46,IF(L119="pelet",R119*'Założenia,wskaźniki, listy'!$F$46,IF(L119="olej opałowy",R119*'Założenia,wskaźniki, listy'!$G$46,IF(L119="sieć ciepłownicza",R119*'Założenia,wskaźniki, listy'!$H$46,IF(L119="prąd",R119*'Założenia,wskaźniki, listy'!$I$46,0)))))))</f>
        <v>8.4778455999999984</v>
      </c>
      <c r="W119" s="639">
        <f>IF(L119="węgiel",R119*'Założenia,wskaźniki, listy'!$C$47,IF(L119="gaz",R119*'Założenia,wskaźniki, listy'!$D$47,IF(L119="drewno",R119*'Założenia,wskaźniki, listy'!$E$47,IF(L119="pelet",R119*'Założenia,wskaźniki, listy'!$F$47,IF(L119="olej opałowy",R119*'Założenia,wskaźniki, listy'!$G$47,IF(L119="sieć ciepłownicza",0,IF(L119="prąd",0,0)))))))</f>
        <v>2.4418800000000001E-5</v>
      </c>
      <c r="X119" s="639">
        <f>IF(L119="węgiel",R119*'Założenia,wskaźniki, listy'!$C$48, IF(L119="gaz",R119*'Założenia,wskaźniki, listy'!$D$48,IF(L119="drewno",R119*'Założenia,wskaźniki, listy'!$E$48,IF(L119="pelet",R119*'Założenia,wskaźniki, listy'!$F$48,IF(L119="olej opałowy",R119*'Założenia,wskaźniki, listy'!$G$48,IF(L119="sieć ciepłownicza",0,IF(L119="prąd",0,0)))))))</f>
        <v>8.1395999999999996E-2</v>
      </c>
      <c r="Y119" s="639">
        <f>IF(L119="węgiel",R119*'Założenia,wskaźniki, listy'!$C$49, IF(L119="gaz",R119*'Założenia,wskaźniki, listy'!$D$49, IF(L119="drewno",R119*'Założenia,wskaźniki, listy'!$E$49,IF(L119="pelet",R119*'Założenia,wskaźniki, listy'!$F$49,IF(L119="olej opałowy",R119*'Założenia,wskaźniki, listy'!$G$49,IF(L119="sieć ciepłownicza",0,IF(L119="prąd",0,0)))))))</f>
        <v>1.4289519999999998E-2</v>
      </c>
      <c r="Z119" s="639">
        <f>IF(L119="węgiel",R119*'Założenia,wskaźniki, listy'!$C$50,IF(L119="gaz",R119*'Założenia,wskaźniki, listy'!$D$50, IF(L119="drewno",R119*'Założenia,wskaźniki, listy'!$E$50,IF(L119="pelet",R119*'Założenia,wskaźniki, listy'!$F$50,IF(L119="pelet",R119*'Założenia,wskaźniki, listy'!$F$50,IF(L119="olej opałowy",R119*'Założenia,wskaźniki, listy'!$G$50,IF(L119="sieć ciepłownicza",0,IF(L119="prąd",0,0))))))))</f>
        <v>0.18193115780062583</v>
      </c>
      <c r="AA119" s="639">
        <f>IF(N119="węgiel",Q119*'Założenia,wskaźniki, listy'!$C$44,IF(N119="gaz",Q119*'Założenia,wskaźniki, listy'!$D$44,IF(N119="drewno",Q119*'Założenia,wskaźniki, listy'!$E$44,IF(N119="pelet",Q119*'Założenia,wskaźniki, listy'!$G$44,IF(N119="olej opałowy",Q119*'Założenia,wskaźniki, listy'!$G$44,IF(N119="sieć ciepłownicza",0,IF(N119="prąd",0,0)))))))</f>
        <v>0</v>
      </c>
      <c r="AB119" s="639">
        <f>IF(N119="węgiel",Q119*'Założenia,wskaźniki, listy'!$C$45,IF(N119="gaz",Q119*'Założenia,wskaźniki, listy'!$D$45,IF(N119="drewno",Q119*'Założenia,wskaźniki, listy'!$E$45,IF(N119="pelet",Q119*'Założenia,wskaźniki, listy'!$G$45,IF(N119="olej opałowy",Q119*'Założenia,wskaźniki, listy'!$G$45,IF(N119="sieć ciepłownicza",0,IF(N119="prąd",0,0)))))))</f>
        <v>0</v>
      </c>
      <c r="AC119" s="639">
        <f>IF(N119="węgiel",Q119*'Założenia,wskaźniki, listy'!$C$46,IF(N119="gaz",Q119*'Założenia,wskaźniki, listy'!$D$46,IF(N119="drewno",Q119*'Założenia,wskaźniki, listy'!$E$46,IF(N119="pelet",Q119*'Założenia,wskaźniki, listy'!$G$46,IF(N119="olej opałowy",Q119*'Założenia,wskaźniki, listy'!$G$46,IF(N119="sieć ciepłownicza",0,IF(N119="prąd",0,0)))))))</f>
        <v>0</v>
      </c>
      <c r="AD119" s="639">
        <f>IF(N119="węgiel",Q119*'Założenia,wskaźniki, listy'!$C$47,IF(N119="gaz",Q119*'Założenia,wskaźniki, listy'!$D$47,IF(N119="drewno",Q119*'Założenia,wskaźniki, listy'!$E$47,IF(N119="pelet",Q119*'Założenia,wskaźniki, listy'!$G$47,IF(N119="olej opałowy",Q119*'Założenia,wskaźniki, listy'!$G$47,IF(N119="sieć ciepłownicza",0,IF(N119="prąd",0,0)))))))</f>
        <v>0</v>
      </c>
      <c r="AE119" s="639">
        <f>IF(N119="węgiel",Q119*'Założenia,wskaźniki, listy'!$C$48,IF(N119="gaz",Q119*'Założenia,wskaźniki, listy'!$D$48,IF(N119="drewno",Q119*'Założenia,wskaźniki, listy'!$E$48,IF(N119="pelet",Q119*'Założenia,wskaźniki, listy'!$G$48,IF(N119="olej opałowy",Q119*'Założenia,wskaźniki, listy'!$G$48,IF(N119="sieć ciepłownicza",0,IF(N119="prąd",0,0)))))))</f>
        <v>0</v>
      </c>
      <c r="AF119" s="639">
        <f>IF(N119="węgiel",Q119*'Założenia,wskaźniki, listy'!$C$49,IF(N119="gaz",Q119*'Założenia,wskaźniki, listy'!$D$49,IF(N119="drewno",Q119*'Założenia,wskaźniki, listy'!$E$49,IF(N119="pelet",Q119*'Założenia,wskaźniki, listy'!$G$49,IF(N119="olej opałowy",Q119*'Założenia,wskaźniki, listy'!$G$49,IF(N119="sieć ciepłownicza",0,IF(N119="prąd",0,0)))))))</f>
        <v>0</v>
      </c>
      <c r="AG119" s="639">
        <f>IF(N119="węgiel",Q119*'Założenia,wskaźniki, listy'!$C$50,IF(N119="gaz",Q119*'Założenia,wskaźniki, listy'!$D$50,IF(N119="drewno",Q119*'Założenia,wskaźniki, listy'!$E$50,IF(N119="pelet",Q119*'Założenia,wskaźniki, listy'!$G$50,IF(N119="olej opałowy",Q119*'Założenia,wskaźniki, listy'!$G$50,IF(N119="sieć ciepłownicza",0,IF(N119="prąd",0,0)))))))</f>
        <v>0</v>
      </c>
      <c r="AH119" s="640">
        <f>IF(L119="węgiel",(P119+R119)/2*'Założenia,wskaźniki, listy'!$C$4,IF(L119="gaz",(P119+R119)/2*'Założenia,wskaźniki, listy'!$C$5,IF(L119="drewno",(P119+R119)/2*'Założenia,wskaźniki, listy'!$C$6,IF(L119="pelet",(P119+R119)/2*'Założenia,wskaźniki, listy'!$C$7,IF(L119="olej opałowy",(P119+R119)/2*'Założenia,wskaźniki, listy'!$C$8,IF(L119="sieć ciepłownicza",(P119+R119)/2*'Założenia,wskaźniki, listy'!$C$9,IF(L119="sieć ciepłownicza",(P119+R119)/2*'Założenia,wskaźniki, listy'!$C$10,)))))))</f>
        <v>4437.0199999999995</v>
      </c>
      <c r="AI119" s="640">
        <f>IF(N119="węgiel",Q119*'Założenia,wskaźniki, listy'!$C$4,IF(N119="gaz",Q119*'Założenia,wskaźniki, listy'!$C$5,IF(N119="drewno",Q119*'Założenia,wskaźniki, listy'!$C$6,IF(N119="pelet",Q119*'Założenia,wskaźniki, listy'!$C$7,IF(N119="olej opałowy",Q119*'Założenia,wskaźniki, listy'!$C$8,IF(N119="sieć ciepłownicza",Q119*'Założenia,wskaźniki, listy'!$C$9,IF(N119="sieć ciepłownicza",Q119*'Założenia,wskaźniki, listy'!$C$10,0)))))))</f>
        <v>0</v>
      </c>
      <c r="AJ119" s="640">
        <f>S119*'Założenia,wskaźniki, listy'!$B$64*1000</f>
        <v>1441.5840000000001</v>
      </c>
      <c r="AK119" s="640">
        <f>(H119+I119)*'Założenia,wskaźniki, listy'!$D$64*12</f>
        <v>0</v>
      </c>
      <c r="AL119" s="640">
        <f>AK119*'Założenia,wskaźniki, listy'!$F$64</f>
        <v>0</v>
      </c>
      <c r="AM119" s="639">
        <f t="shared" si="128"/>
        <v>2.0348999999999999E-2</v>
      </c>
      <c r="AN119" s="639">
        <f t="shared" si="129"/>
        <v>1.8178440000000001E-2</v>
      </c>
      <c r="AO119" s="639">
        <f>V119+AC119+S119*'Założenia,wskaźniki, listy'!$J$46</f>
        <v>10.166123199999998</v>
      </c>
      <c r="AP119" s="639">
        <f t="shared" si="130"/>
        <v>2.4418800000000001E-5</v>
      </c>
      <c r="AQ119" s="639">
        <f t="shared" si="131"/>
        <v>8.1395999999999996E-2</v>
      </c>
      <c r="AR119" s="639">
        <f t="shared" si="132"/>
        <v>1.4289519999999998E-2</v>
      </c>
      <c r="AS119" s="639">
        <f t="shared" si="133"/>
        <v>0.18193115780062583</v>
      </c>
      <c r="AT119" s="647"/>
      <c r="AU119" s="647"/>
      <c r="AV119" s="624" t="b">
        <f t="shared" si="135"/>
        <v>0</v>
      </c>
      <c r="AW119" s="624" t="b">
        <f t="shared" si="136"/>
        <v>0</v>
      </c>
      <c r="AX119" s="624">
        <f t="shared" si="137"/>
        <v>140</v>
      </c>
      <c r="AY119" s="624" t="b">
        <f t="shared" si="138"/>
        <v>0</v>
      </c>
      <c r="AZ119" s="624" t="b">
        <f t="shared" si="139"/>
        <v>0</v>
      </c>
      <c r="BA119" s="624" t="b">
        <f t="shared" si="140"/>
        <v>0</v>
      </c>
      <c r="BB119" s="624" t="b">
        <f t="shared" si="141"/>
        <v>0</v>
      </c>
      <c r="BC119" s="624" t="b">
        <f t="shared" si="142"/>
        <v>0</v>
      </c>
      <c r="BD119" s="624" t="b">
        <f t="shared" si="143"/>
        <v>0</v>
      </c>
      <c r="BE119" s="624" t="b">
        <f t="shared" si="144"/>
        <v>0</v>
      </c>
      <c r="BF119" s="624">
        <f t="shared" si="145"/>
        <v>90.44</v>
      </c>
      <c r="BG119" s="624" t="b">
        <f t="shared" si="146"/>
        <v>0</v>
      </c>
      <c r="BH119" s="624" t="b">
        <f t="shared" si="147"/>
        <v>0</v>
      </c>
      <c r="BI119" s="624" t="b">
        <f t="shared" si="148"/>
        <v>0</v>
      </c>
      <c r="BJ119" s="624" t="b">
        <f t="shared" si="149"/>
        <v>0</v>
      </c>
      <c r="BK119" s="624" t="b">
        <f t="shared" si="150"/>
        <v>0</v>
      </c>
      <c r="BL119" s="624" t="b">
        <f t="shared" si="151"/>
        <v>0</v>
      </c>
      <c r="BM119" s="624" t="b">
        <f t="shared" si="152"/>
        <v>0</v>
      </c>
      <c r="BN119" s="624" t="b">
        <f t="shared" si="153"/>
        <v>0</v>
      </c>
      <c r="BO119" s="624" t="b">
        <f t="shared" si="154"/>
        <v>0</v>
      </c>
      <c r="BP119" s="624" t="b">
        <f t="shared" si="155"/>
        <v>0</v>
      </c>
      <c r="BQ119" s="624" t="b">
        <f t="shared" si="156"/>
        <v>0</v>
      </c>
    </row>
    <row r="120" spans="1:69" ht="8.25" customHeight="1">
      <c r="A120" s="1086"/>
      <c r="B120" s="872"/>
      <c r="C120" s="872"/>
      <c r="D120" s="645"/>
      <c r="E120" s="645"/>
      <c r="F120" s="644"/>
      <c r="G120" s="644"/>
      <c r="H120" s="644"/>
      <c r="I120" s="635"/>
      <c r="J120" s="644">
        <f>IF(F120&lt;=1966,'Założenia,wskaźniki, listy'!$H$4,IF(F120&gt;1966,IF(F120&lt;=1985,'Założenia,wskaźniki, listy'!$H$5,IF(F120&gt;1985,IF(F120&lt;=1992,'Założenia,wskaźniki, listy'!$H$6,IF(F120&gt;1992,IF(F120&lt;=1996,'Założenia,wskaźniki, listy'!$H$7,IF(F120&gt;1996,IF(F120&lt;=2015,'Założenia,wskaźniki, listy'!$H$8)))))))))</f>
        <v>290</v>
      </c>
      <c r="K120" s="872"/>
      <c r="L120" s="872" t="s">
        <v>79</v>
      </c>
      <c r="M120" s="872">
        <v>0.5</v>
      </c>
      <c r="N120" s="644"/>
      <c r="O120" s="637">
        <f t="shared" ref="O120" si="199">IF(P120&gt;0,(Q120+R120+P120)/2,Q120+R120)</f>
        <v>7.5</v>
      </c>
      <c r="P120" s="646">
        <f>IF(K120="kompletna",J120*G120*0.0036*'Założenia,wskaźniki, listy'!$P$9,IF(K120="częściowa",J120*G120*0.0036*'Założenia,wskaźniki, listy'!$P$10,IF(K120="brak",J120*G120*0.0036*'Założenia,wskaźniki, listy'!$P$11,0)))</f>
        <v>0</v>
      </c>
      <c r="Q120" s="638">
        <f>H120*'Założenia,wskaźniki, listy'!$L$15</f>
        <v>0</v>
      </c>
      <c r="R120" s="635">
        <f>IF(L120="węgiel",'Mieszkalne - baza'!M120*'Założenia,wskaźniki, listy'!$B$4,IF(L120="gaz",'Mieszkalne - baza'!M120*'Założenia,wskaźniki, listy'!$B$5,IF(L120="drewno",'Mieszkalne - baza'!M120*'Założenia,wskaźniki, listy'!$B$6,IF(L120="pelet",'Mieszkalne - baza'!M120*'Założenia,wskaźniki, listy'!$B$7,IF(L120="olej opałowy",'Mieszkalne - baza'!M120*'Założenia,wskaźniki, listy'!$B$8,IF(L120="sieć ciepłownicza",0,0))))))</f>
        <v>7.5</v>
      </c>
      <c r="S120" s="1085"/>
      <c r="T120" s="639">
        <f>IF(L120="węgiel",R120*'Założenia,wskaźniki, listy'!$C$44,IF(L120="gaz",R120*'Założenia,wskaźniki, listy'!$D$44,IF(L120="drewno",R120*'Założenia,wskaźniki, listy'!$E$44,IF(L120="pelet",R120*'Założenia,wskaźniki, listy'!$F$44,IF(L120="olej opałowy",R120*'Założenia,wskaźniki, listy'!$G$44,IF(L120="sieć ciepłownicza",0,IF(L120="prąd",0,0)))))))</f>
        <v>3.5999999999999999E-3</v>
      </c>
      <c r="U120" s="639">
        <f>IF(L120="węgiel",R120*'Założenia,wskaźniki, listy'!$C$45,IF(L120="gaz",R120*'Założenia,wskaźniki, listy'!$D$45,IF(L120="drewno",R120*'Założenia,wskaźniki, listy'!$E$45,IF(L120="pelet",R120*'Założenia,wskaźniki, listy'!$F$45,IF(L120="olej opałowy",R120*'Założenia,wskaźniki, listy'!$G$45,IF(L120="sieć ciepłownicza",0,IF(L120="prąd",0,0)))))))</f>
        <v>3.5249999999999999E-3</v>
      </c>
      <c r="V120" s="639">
        <f>IF(L120="węgiel",R120*'Założenia,wskaźniki, listy'!$C$46,IF(L120="gaz",R120*'Założenia,wskaźniki, listy'!$D$46,IF(L120="drewno",R120*'Założenia,wskaźniki, listy'!$E$46,IF(L120="pelet",R120*'Założenia,wskaźniki, listy'!$F$46,IF(L120="olej opałowy",R120*'Założenia,wskaźniki, listy'!$G$46,IF(L120="sieć ciepłownicza",R120*'Założenia,wskaźniki, listy'!$H$46,IF(L120="prąd",R120*'Założenia,wskaźniki, listy'!$I$46,0)))))))</f>
        <v>0</v>
      </c>
      <c r="W120" s="639">
        <f>IF(L120="węgiel",R120*'Założenia,wskaźniki, listy'!$C$47,IF(L120="gaz",R120*'Założenia,wskaźniki, listy'!$D$47,IF(L120="drewno",R120*'Założenia,wskaźniki, listy'!$E$47,IF(L120="pelet",R120*'Założenia,wskaźniki, listy'!$F$47,IF(L120="olej opałowy",R120*'Założenia,wskaźniki, listy'!$G$47,IF(L120="sieć ciepłownicza",0,IF(L120="prąd",0,0)))))))</f>
        <v>9.075000000000001E-7</v>
      </c>
      <c r="X120" s="639">
        <f>IF(L120="węgiel",R120*'Założenia,wskaźniki, listy'!$C$48, IF(L120="gaz",R120*'Założenia,wskaźniki, listy'!$D$48,IF(L120="drewno",R120*'Założenia,wskaźniki, listy'!$E$48,IF(L120="pelet",R120*'Założenia,wskaźniki, listy'!$F$48,IF(L120="olej opałowy",R120*'Założenia,wskaźniki, listy'!$G$48,IF(L120="sieć ciepłownicza",0,IF(L120="prąd",0,0)))))))</f>
        <v>8.25E-5</v>
      </c>
      <c r="Y120" s="639">
        <f>IF(L120="węgiel",R120*'Założenia,wskaźniki, listy'!$C$49, IF(L120="gaz",R120*'Założenia,wskaźniki, listy'!$D$49, IF(L120="drewno",R120*'Założenia,wskaźniki, listy'!$E$49,IF(L120="pelet",R120*'Założenia,wskaźniki, listy'!$F$49,IF(L120="olej opałowy",R120*'Założenia,wskaźniki, listy'!$G$49,IF(L120="sieć ciepłownicza",0,IF(L120="prąd",0,0)))))))</f>
        <v>6.0000000000000006E-4</v>
      </c>
      <c r="Z120" s="639">
        <f>IF(L120="węgiel",R120*'Założenia,wskaźniki, listy'!$C$50,IF(L120="gaz",R120*'Założenia,wskaźniki, listy'!$D$50, IF(L120="drewno",R120*'Założenia,wskaźniki, listy'!$E$50,IF(L120="pelet",R120*'Założenia,wskaźniki, listy'!$F$50,IF(L120="pelet",R120*'Założenia,wskaźniki, listy'!$F$50,IF(L120="olej opałowy",R120*'Założenia,wskaźniki, listy'!$G$50,IF(L120="sieć ciepłownicza",0,IF(L120="prąd",0,0))))))))</f>
        <v>1.3454999999999999E-3</v>
      </c>
      <c r="AA120" s="639">
        <f>IF(N120="węgiel",Q120*'Założenia,wskaźniki, listy'!$C$44,IF(N120="gaz",Q120*'Założenia,wskaźniki, listy'!$D$44,IF(N120="drewno",Q120*'Założenia,wskaźniki, listy'!$E$44,IF(N120="pelet",Q120*'Założenia,wskaźniki, listy'!$G$44,IF(N120="olej opałowy",Q120*'Założenia,wskaźniki, listy'!$G$44,IF(N120="sieć ciepłownicza",0,IF(N120="prąd",0,0)))))))</f>
        <v>0</v>
      </c>
      <c r="AB120" s="639">
        <f>IF(N120="węgiel",Q120*'Założenia,wskaźniki, listy'!$C$45,IF(N120="gaz",Q120*'Założenia,wskaźniki, listy'!$D$45,IF(N120="drewno",Q120*'Założenia,wskaźniki, listy'!$E$45,IF(N120="pelet",Q120*'Założenia,wskaźniki, listy'!$G$45,IF(N120="olej opałowy",Q120*'Założenia,wskaźniki, listy'!$G$45,IF(N120="sieć ciepłownicza",0,IF(N120="prąd",0,0)))))))</f>
        <v>0</v>
      </c>
      <c r="AC120" s="639">
        <f>IF(N120="węgiel",Q120*'Założenia,wskaźniki, listy'!$C$46,IF(N120="gaz",Q120*'Założenia,wskaźniki, listy'!$D$46,IF(N120="drewno",Q120*'Założenia,wskaźniki, listy'!$E$46,IF(N120="pelet",Q120*'Założenia,wskaźniki, listy'!$G$46,IF(N120="olej opałowy",Q120*'Założenia,wskaźniki, listy'!$G$46,IF(N120="sieć ciepłownicza",0,IF(N120="prąd",0,0)))))))</f>
        <v>0</v>
      </c>
      <c r="AD120" s="639">
        <f>IF(N120="węgiel",Q120*'Założenia,wskaźniki, listy'!$C$47,IF(N120="gaz",Q120*'Założenia,wskaźniki, listy'!$D$47,IF(N120="drewno",Q120*'Założenia,wskaźniki, listy'!$E$47,IF(N120="pelet",Q120*'Założenia,wskaźniki, listy'!$G$47,IF(N120="olej opałowy",Q120*'Założenia,wskaźniki, listy'!$G$47,IF(N120="sieć ciepłownicza",0,IF(N120="prąd",0,0)))))))</f>
        <v>0</v>
      </c>
      <c r="AE120" s="639">
        <f>IF(N120="węgiel",Q120*'Założenia,wskaźniki, listy'!$C$48,IF(N120="gaz",Q120*'Założenia,wskaźniki, listy'!$D$48,IF(N120="drewno",Q120*'Założenia,wskaźniki, listy'!$E$48,IF(N120="pelet",Q120*'Założenia,wskaźniki, listy'!$G$48,IF(N120="olej opałowy",Q120*'Założenia,wskaźniki, listy'!$G$48,IF(N120="sieć ciepłownicza",0,IF(N120="prąd",0,0)))))))</f>
        <v>0</v>
      </c>
      <c r="AF120" s="639">
        <f>IF(N120="węgiel",Q120*'Założenia,wskaźniki, listy'!$C$49,IF(N120="gaz",Q120*'Założenia,wskaźniki, listy'!$D$49,IF(N120="drewno",Q120*'Założenia,wskaźniki, listy'!$E$49,IF(N120="pelet",Q120*'Założenia,wskaźniki, listy'!$G$49,IF(N120="olej opałowy",Q120*'Założenia,wskaźniki, listy'!$G$49,IF(N120="sieć ciepłownicza",0,IF(N120="prąd",0,0)))))))</f>
        <v>0</v>
      </c>
      <c r="AG120" s="639">
        <f>IF(N120="węgiel",Q120*'Założenia,wskaźniki, listy'!$C$50,IF(N120="gaz",Q120*'Założenia,wskaźniki, listy'!$D$50,IF(N120="drewno",Q120*'Założenia,wskaźniki, listy'!$E$50,IF(N120="pelet",Q120*'Założenia,wskaźniki, listy'!$G$50,IF(N120="olej opałowy",Q120*'Założenia,wskaźniki, listy'!$G$50,IF(N120="sieć ciepłownicza",0,IF(N120="prąd",0,0)))))))</f>
        <v>0</v>
      </c>
      <c r="AH120" s="640">
        <f>IF(L120="węgiel",(P120+R120)/2*'Założenia,wskaźniki, listy'!$C$4,IF(L120="gaz",(P120+R120)/2*'Założenia,wskaźniki, listy'!$C$5,IF(L120="drewno",(P120+R120)/2*'Założenia,wskaźniki, listy'!$C$6,IF(L120="pelet",(P120+R120)/2*'Założenia,wskaźniki, listy'!$C$7,IF(L120="olej opałowy",(P120+R120)/2*'Założenia,wskaźniki, listy'!$C$8,IF(L120="sieć ciepłownicza",(P120+R120)/2*'Założenia,wskaźniki, listy'!$C$9,IF(L120="sieć ciepłownicza",(P120+R120)/2*'Założenia,wskaźniki, listy'!$C$10,)))))))</f>
        <v>142.5</v>
      </c>
      <c r="AI120" s="640">
        <f>IF(N120="węgiel",Q120*'Założenia,wskaźniki, listy'!$C$4,IF(N120="gaz",Q120*'Założenia,wskaźniki, listy'!$C$5,IF(N120="drewno",Q120*'Założenia,wskaźniki, listy'!$C$6,IF(N120="pelet",Q120*'Założenia,wskaźniki, listy'!$C$7,IF(N120="olej opałowy",Q120*'Założenia,wskaźniki, listy'!$C$8,IF(N120="sieć ciepłownicza",Q120*'Założenia,wskaźniki, listy'!$C$9,IF(N120="sieć ciepłownicza",Q120*'Założenia,wskaźniki, listy'!$C$10,0)))))))</f>
        <v>0</v>
      </c>
      <c r="AJ120" s="640">
        <f>S120*'Założenia,wskaźniki, listy'!$B$64*1000</f>
        <v>0</v>
      </c>
      <c r="AK120" s="640">
        <f>(H120+I120)*'Założenia,wskaźniki, listy'!$D$64*12</f>
        <v>0</v>
      </c>
      <c r="AL120" s="640">
        <f>AK120*'Założenia,wskaźniki, listy'!$F$64</f>
        <v>0</v>
      </c>
      <c r="AM120" s="639">
        <f t="shared" ref="AM120" si="200">T120+AA120</f>
        <v>3.5999999999999999E-3</v>
      </c>
      <c r="AN120" s="639">
        <f t="shared" ref="AN120" si="201">U120+AB120</f>
        <v>3.5249999999999999E-3</v>
      </c>
      <c r="AO120" s="639">
        <f>V120+AC120+S120*'Założenia,wskaźniki, listy'!$J$46</f>
        <v>0</v>
      </c>
      <c r="AP120" s="639">
        <f t="shared" ref="AP120" si="202">W120+AD120</f>
        <v>9.075000000000001E-7</v>
      </c>
      <c r="AQ120" s="639">
        <f t="shared" ref="AQ120" si="203">X120+AE120</f>
        <v>8.25E-5</v>
      </c>
      <c r="AR120" s="639">
        <f t="shared" ref="AR120" si="204">Y120+AF120</f>
        <v>6.0000000000000006E-4</v>
      </c>
      <c r="AS120" s="639">
        <f t="shared" ref="AS120" si="205">Z120+AG120</f>
        <v>1.3454999999999999E-3</v>
      </c>
      <c r="AT120" s="647"/>
      <c r="AU120" s="647"/>
      <c r="AV120" s="624">
        <f t="shared" si="135"/>
        <v>0</v>
      </c>
      <c r="AW120" s="624" t="b">
        <f t="shared" si="136"/>
        <v>0</v>
      </c>
      <c r="AX120" s="624" t="b">
        <f t="shared" si="137"/>
        <v>0</v>
      </c>
      <c r="AY120" s="624" t="b">
        <f t="shared" si="138"/>
        <v>0</v>
      </c>
      <c r="AZ120" s="624" t="b">
        <f t="shared" si="139"/>
        <v>0</v>
      </c>
      <c r="BA120" s="624" t="b">
        <f t="shared" si="140"/>
        <v>0</v>
      </c>
      <c r="BB120" s="624" t="b">
        <f t="shared" si="141"/>
        <v>0</v>
      </c>
      <c r="BC120" s="624" t="b">
        <f t="shared" si="142"/>
        <v>0</v>
      </c>
      <c r="BD120" s="624" t="b">
        <f t="shared" si="143"/>
        <v>0</v>
      </c>
      <c r="BE120" s="624" t="b">
        <f t="shared" si="144"/>
        <v>0</v>
      </c>
      <c r="BF120" s="624" t="b">
        <f t="shared" si="145"/>
        <v>0</v>
      </c>
      <c r="BG120" s="624" t="b">
        <f t="shared" si="146"/>
        <v>0</v>
      </c>
      <c r="BH120" s="624">
        <f t="shared" si="147"/>
        <v>7.5</v>
      </c>
      <c r="BI120" s="624" t="b">
        <f t="shared" si="148"/>
        <v>0</v>
      </c>
      <c r="BJ120" s="624" t="b">
        <f t="shared" si="149"/>
        <v>0</v>
      </c>
      <c r="BK120" s="624" t="b">
        <f t="shared" si="150"/>
        <v>0</v>
      </c>
      <c r="BL120" s="624" t="b">
        <f t="shared" si="151"/>
        <v>0</v>
      </c>
      <c r="BM120" s="624" t="b">
        <f t="shared" si="152"/>
        <v>0</v>
      </c>
      <c r="BN120" s="624" t="b">
        <f t="shared" si="153"/>
        <v>0</v>
      </c>
      <c r="BO120" s="624" t="b">
        <f t="shared" si="154"/>
        <v>0</v>
      </c>
      <c r="BP120" s="624" t="b">
        <f t="shared" si="155"/>
        <v>0</v>
      </c>
      <c r="BQ120" s="624" t="b">
        <f t="shared" si="156"/>
        <v>0</v>
      </c>
    </row>
    <row r="121" spans="1:69">
      <c r="A121" s="1086">
        <v>59</v>
      </c>
      <c r="B121" s="872" t="s">
        <v>21</v>
      </c>
      <c r="C121" s="873" t="s">
        <v>634</v>
      </c>
      <c r="D121" s="645"/>
      <c r="E121" s="645">
        <v>11</v>
      </c>
      <c r="F121" s="644">
        <v>1966</v>
      </c>
      <c r="G121" s="644">
        <v>80</v>
      </c>
      <c r="H121" s="644"/>
      <c r="I121" s="635"/>
      <c r="J121" s="644">
        <f>IF(F121&lt;=1966,'Założenia,wskaźniki, listy'!$H$4,IF(F121&gt;1966,IF(F121&lt;=1985,'Założenia,wskaźniki, listy'!$H$5,IF(F121&gt;1985,IF(F121&lt;=1992,'Założenia,wskaźniki, listy'!$H$6,IF(F121&gt;1992,IF(F121&lt;=1996,'Założenia,wskaźniki, listy'!$H$7,IF(F121&gt;1996,IF(F121&lt;=2015,'Założenia,wskaźniki, listy'!$H$8)))))))))</f>
        <v>290</v>
      </c>
      <c r="K121" s="864" t="s">
        <v>31</v>
      </c>
      <c r="L121" s="644" t="s">
        <v>8</v>
      </c>
      <c r="M121" s="644">
        <v>3</v>
      </c>
      <c r="N121" s="644"/>
      <c r="O121" s="637">
        <f t="shared" si="134"/>
        <v>75.674999999999997</v>
      </c>
      <c r="P121" s="646">
        <f>IF(K121="kompletna",J121*G121*0.0036*'Założenia,wskaźniki, listy'!$P$9,IF(K121="częściowa",J121*G121*0.0036*'Założenia,wskaźniki, listy'!$P$10,IF(K121="brak",J121*G121*0.0036*'Założenia,wskaźniki, listy'!$P$11,0)))</f>
        <v>83.52</v>
      </c>
      <c r="Q121" s="638">
        <f>H121*'Założenia,wskaźniki, listy'!$L$15</f>
        <v>0</v>
      </c>
      <c r="R121" s="635">
        <f>IF(L121="węgiel",'Mieszkalne - baza'!M121*'Założenia,wskaźniki, listy'!$B$4,IF(L121="gaz",'Mieszkalne - baza'!M121*'Założenia,wskaźniki, listy'!$B$5,IF(L121="drewno",'Mieszkalne - baza'!M121*'Założenia,wskaźniki, listy'!$B$6,IF(L121="pelet",'Mieszkalne - baza'!M121*'Założenia,wskaźniki, listy'!$B$7,IF(L121="olej opałowy",'Mieszkalne - baza'!M121*'Założenia,wskaźniki, listy'!$B$8,IF(L121="sieć ciepłownicza",0,0))))))</f>
        <v>67.83</v>
      </c>
      <c r="S121" s="1084">
        <v>2.2560000000000002</v>
      </c>
      <c r="T121" s="639">
        <f>IF(L121="węgiel",R121*'Założenia,wskaźniki, listy'!$C$44,IF(L121="gaz",R121*'Założenia,wskaźniki, listy'!$D$44,IF(L121="drewno",R121*'Założenia,wskaźniki, listy'!$E$44,IF(L121="pelet",R121*'Założenia,wskaźniki, listy'!$F$44,IF(L121="olej opałowy",R121*'Założenia,wskaźniki, listy'!$G$44,IF(L121="sieć ciepłownicza",0,IF(L121="prąd",0,0)))))))</f>
        <v>1.5261749999999999E-2</v>
      </c>
      <c r="U121" s="639">
        <f>IF(L121="węgiel",R121*'Założenia,wskaźniki, listy'!$C$45,IF(L121="gaz",R121*'Założenia,wskaźniki, listy'!$D$45,IF(L121="drewno",R121*'Założenia,wskaźniki, listy'!$E$45,IF(L121="pelet",R121*'Założenia,wskaźniki, listy'!$F$45,IF(L121="olej opałowy",R121*'Założenia,wskaźniki, listy'!$G$45,IF(L121="sieć ciepłownicza",0,IF(L121="prąd",0,0)))))))</f>
        <v>1.363383E-2</v>
      </c>
      <c r="V121" s="639">
        <f>IF(L121="węgiel",R121*'Założenia,wskaźniki, listy'!$C$46,IF(L121="gaz",R121*'Założenia,wskaźniki, listy'!$D$46,IF(L121="drewno",R121*'Założenia,wskaźniki, listy'!$E$46,IF(L121="pelet",R121*'Założenia,wskaźniki, listy'!$F$46,IF(L121="olej opałowy",R121*'Założenia,wskaźniki, listy'!$G$46,IF(L121="sieć ciepłownicza",R121*'Założenia,wskaźniki, listy'!$H$46,IF(L121="prąd",R121*'Założenia,wskaźniki, listy'!$I$46,0)))))))</f>
        <v>6.3583841999999988</v>
      </c>
      <c r="W121" s="639">
        <f>IF(L121="węgiel",R121*'Założenia,wskaźniki, listy'!$C$47,IF(L121="gaz",R121*'Założenia,wskaźniki, listy'!$D$47,IF(L121="drewno",R121*'Założenia,wskaźniki, listy'!$E$47,IF(L121="pelet",R121*'Założenia,wskaźniki, listy'!$F$47,IF(L121="olej opałowy",R121*'Założenia,wskaźniki, listy'!$G$47,IF(L121="sieć ciepłownicza",0,IF(L121="prąd",0,0)))))))</f>
        <v>1.8314100000000001E-5</v>
      </c>
      <c r="X121" s="639">
        <f>IF(L121="węgiel",R121*'Założenia,wskaźniki, listy'!$C$48, IF(L121="gaz",R121*'Założenia,wskaźniki, listy'!$D$48,IF(L121="drewno",R121*'Założenia,wskaźniki, listy'!$E$48,IF(L121="pelet",R121*'Założenia,wskaźniki, listy'!$F$48,IF(L121="olej opałowy",R121*'Założenia,wskaźniki, listy'!$G$48,IF(L121="sieć ciepłownicza",0,IF(L121="prąd",0,0)))))))</f>
        <v>6.1046999999999997E-2</v>
      </c>
      <c r="Y121" s="639">
        <f>IF(L121="węgiel",R121*'Założenia,wskaźniki, listy'!$C$49, IF(L121="gaz",R121*'Założenia,wskaźniki, listy'!$D$49, IF(L121="drewno",R121*'Założenia,wskaźniki, listy'!$E$49,IF(L121="pelet",R121*'Założenia,wskaźniki, listy'!$F$49,IF(L121="olej opałowy",R121*'Założenia,wskaźniki, listy'!$G$49,IF(L121="sieć ciepłownicza",0,IF(L121="prąd",0,0)))))))</f>
        <v>1.071714E-2</v>
      </c>
      <c r="Z121" s="639">
        <f>IF(L121="węgiel",R121*'Założenia,wskaźniki, listy'!$C$50,IF(L121="gaz",R121*'Założenia,wskaźniki, listy'!$D$50, IF(L121="drewno",R121*'Założenia,wskaźniki, listy'!$E$50,IF(L121="pelet",R121*'Założenia,wskaźniki, listy'!$F$50,IF(L121="pelet",R121*'Założenia,wskaźniki, listy'!$F$50,IF(L121="olej opałowy",R121*'Założenia,wskaźniki, listy'!$G$50,IF(L121="sieć ciepłownicza",0,IF(L121="prąd",0,0))))))))</f>
        <v>0.13644836835046936</v>
      </c>
      <c r="AA121" s="639">
        <f>IF(N121="węgiel",Q121*'Założenia,wskaźniki, listy'!$C$44,IF(N121="gaz",Q121*'Założenia,wskaźniki, listy'!$D$44,IF(N121="drewno",Q121*'Założenia,wskaźniki, listy'!$E$44,IF(N121="pelet",Q121*'Założenia,wskaźniki, listy'!$G$44,IF(N121="olej opałowy",Q121*'Założenia,wskaźniki, listy'!$G$44,IF(N121="sieć ciepłownicza",0,IF(N121="prąd",0,0)))))))</f>
        <v>0</v>
      </c>
      <c r="AB121" s="639">
        <f>IF(N121="węgiel",Q121*'Założenia,wskaźniki, listy'!$C$45,IF(N121="gaz",Q121*'Założenia,wskaźniki, listy'!$D$45,IF(N121="drewno",Q121*'Założenia,wskaźniki, listy'!$E$45,IF(N121="pelet",Q121*'Założenia,wskaźniki, listy'!$G$45,IF(N121="olej opałowy",Q121*'Założenia,wskaźniki, listy'!$G$45,IF(N121="sieć ciepłownicza",0,IF(N121="prąd",0,0)))))))</f>
        <v>0</v>
      </c>
      <c r="AC121" s="639">
        <f>IF(N121="węgiel",Q121*'Założenia,wskaźniki, listy'!$C$46,IF(N121="gaz",Q121*'Założenia,wskaźniki, listy'!$D$46,IF(N121="drewno",Q121*'Założenia,wskaźniki, listy'!$E$46,IF(N121="pelet",Q121*'Założenia,wskaźniki, listy'!$G$46,IF(N121="olej opałowy",Q121*'Założenia,wskaźniki, listy'!$G$46,IF(N121="sieć ciepłownicza",0,IF(N121="prąd",0,0)))))))</f>
        <v>0</v>
      </c>
      <c r="AD121" s="639">
        <f>IF(N121="węgiel",Q121*'Założenia,wskaźniki, listy'!$C$47,IF(N121="gaz",Q121*'Założenia,wskaźniki, listy'!$D$47,IF(N121="drewno",Q121*'Założenia,wskaźniki, listy'!$E$47,IF(N121="pelet",Q121*'Założenia,wskaźniki, listy'!$G$47,IF(N121="olej opałowy",Q121*'Założenia,wskaźniki, listy'!$G$47,IF(N121="sieć ciepłownicza",0,IF(N121="prąd",0,0)))))))</f>
        <v>0</v>
      </c>
      <c r="AE121" s="639">
        <f>IF(N121="węgiel",Q121*'Założenia,wskaźniki, listy'!$C$48,IF(N121="gaz",Q121*'Założenia,wskaźniki, listy'!$D$48,IF(N121="drewno",Q121*'Założenia,wskaźniki, listy'!$E$48,IF(N121="pelet",Q121*'Założenia,wskaźniki, listy'!$G$48,IF(N121="olej opałowy",Q121*'Założenia,wskaźniki, listy'!$G$48,IF(N121="sieć ciepłownicza",0,IF(N121="prąd",0,0)))))))</f>
        <v>0</v>
      </c>
      <c r="AF121" s="639">
        <f>IF(N121="węgiel",Q121*'Założenia,wskaźniki, listy'!$C$49,IF(N121="gaz",Q121*'Założenia,wskaźniki, listy'!$D$49,IF(N121="drewno",Q121*'Założenia,wskaźniki, listy'!$E$49,IF(N121="pelet",Q121*'Założenia,wskaźniki, listy'!$G$49,IF(N121="olej opałowy",Q121*'Założenia,wskaźniki, listy'!$G$49,IF(N121="sieć ciepłownicza",0,IF(N121="prąd",0,0)))))))</f>
        <v>0</v>
      </c>
      <c r="AG121" s="639">
        <f>IF(N121="węgiel",Q121*'Założenia,wskaźniki, listy'!$C$50,IF(N121="gaz",Q121*'Założenia,wskaźniki, listy'!$D$50,IF(N121="drewno",Q121*'Założenia,wskaźniki, listy'!$E$50,IF(N121="pelet",Q121*'Założenia,wskaźniki, listy'!$G$50,IF(N121="olej opałowy",Q121*'Założenia,wskaźniki, listy'!$G$50,IF(N121="sieć ciepłownicza",0,IF(N121="prąd",0,0)))))))</f>
        <v>0</v>
      </c>
      <c r="AH121" s="640">
        <f>IF(L121="węgiel",(P121+R121)/2*'Założenia,wskaźniki, listy'!$C$4,IF(L121="gaz",(P121+R121)/2*'Założenia,wskaźniki, listy'!$C$5,IF(L121="drewno",(P121+R121)/2*'Założenia,wskaźniki, listy'!$C$6,IF(L121="pelet",(P121+R121)/2*'Założenia,wskaźniki, listy'!$C$7,IF(L121="olej opałowy",(P121+R121)/2*'Założenia,wskaźniki, listy'!$C$8,IF(L121="sieć ciepłownicza",(P121+R121)/2*'Założenia,wskaźniki, listy'!$C$9,IF(L121="sieć ciepłownicza",(P121+R121)/2*'Założenia,wskaźniki, listy'!$C$10,)))))))</f>
        <v>3102.6749999999997</v>
      </c>
      <c r="AI121" s="640">
        <f>IF(N121="węgiel",Q121*'Założenia,wskaźniki, listy'!$C$4,IF(N121="gaz",Q121*'Założenia,wskaźniki, listy'!$C$5,IF(N121="drewno",Q121*'Założenia,wskaźniki, listy'!$C$6,IF(N121="pelet",Q121*'Założenia,wskaźniki, listy'!$C$7,IF(N121="olej opałowy",Q121*'Założenia,wskaźniki, listy'!$C$8,IF(N121="sieć ciepłownicza",Q121*'Założenia,wskaźniki, listy'!$C$9,IF(N121="sieć ciepłownicza",Q121*'Założenia,wskaźniki, listy'!$C$10,0)))))))</f>
        <v>0</v>
      </c>
      <c r="AJ121" s="640">
        <f>S121*'Założenia,wskaźniki, listy'!$B$64*1000</f>
        <v>1601.76</v>
      </c>
      <c r="AK121" s="640">
        <f>(H121+I121)*'Założenia,wskaźniki, listy'!$D$64*12</f>
        <v>0</v>
      </c>
      <c r="AL121" s="640">
        <f>AK121*'Założenia,wskaźniki, listy'!$F$64</f>
        <v>0</v>
      </c>
      <c r="AM121" s="639">
        <f t="shared" ref="AM121:AM183" si="206">T121+AA121</f>
        <v>1.5261749999999999E-2</v>
      </c>
      <c r="AN121" s="639">
        <f t="shared" ref="AN121:AN183" si="207">U121+AB121</f>
        <v>1.363383E-2</v>
      </c>
      <c r="AO121" s="639">
        <f>V121+AC121+S121*'Założenia,wskaźniki, listy'!$J$46</f>
        <v>8.2342481999999997</v>
      </c>
      <c r="AP121" s="639">
        <f t="shared" ref="AP121:AP183" si="208">W121+AD121</f>
        <v>1.8314100000000001E-5</v>
      </c>
      <c r="AQ121" s="639">
        <f t="shared" ref="AQ121:AQ183" si="209">X121+AE121</f>
        <v>6.1046999999999997E-2</v>
      </c>
      <c r="AR121" s="639">
        <f t="shared" ref="AR121:AR183" si="210">Y121+AF121</f>
        <v>1.071714E-2</v>
      </c>
      <c r="AS121" s="639">
        <f t="shared" ref="AS121:AS183" si="211">Z121+AG121</f>
        <v>0.13644836835046936</v>
      </c>
      <c r="AT121" s="647"/>
      <c r="AU121" s="647"/>
      <c r="AV121" s="624">
        <f t="shared" si="135"/>
        <v>80</v>
      </c>
      <c r="AW121" s="624" t="b">
        <f t="shared" si="136"/>
        <v>0</v>
      </c>
      <c r="AX121" s="624" t="b">
        <f t="shared" si="137"/>
        <v>0</v>
      </c>
      <c r="AY121" s="624" t="b">
        <f t="shared" si="138"/>
        <v>0</v>
      </c>
      <c r="AZ121" s="624" t="b">
        <f t="shared" si="139"/>
        <v>0</v>
      </c>
      <c r="BA121" s="624" t="b">
        <f t="shared" si="140"/>
        <v>0</v>
      </c>
      <c r="BB121" s="624" t="b">
        <f t="shared" si="141"/>
        <v>0</v>
      </c>
      <c r="BC121" s="624" t="b">
        <f t="shared" si="142"/>
        <v>0</v>
      </c>
      <c r="BD121" s="624" t="b">
        <f t="shared" si="143"/>
        <v>0</v>
      </c>
      <c r="BE121" s="624" t="b">
        <f t="shared" si="144"/>
        <v>0</v>
      </c>
      <c r="BF121" s="624">
        <f t="shared" si="145"/>
        <v>67.83</v>
      </c>
      <c r="BG121" s="624" t="b">
        <f t="shared" si="146"/>
        <v>0</v>
      </c>
      <c r="BH121" s="624" t="b">
        <f t="shared" si="147"/>
        <v>0</v>
      </c>
      <c r="BI121" s="624" t="b">
        <f t="shared" si="148"/>
        <v>0</v>
      </c>
      <c r="BJ121" s="624" t="b">
        <f t="shared" si="149"/>
        <v>0</v>
      </c>
      <c r="BK121" s="624" t="b">
        <f t="shared" si="150"/>
        <v>0</v>
      </c>
      <c r="BL121" s="624" t="b">
        <f t="shared" si="151"/>
        <v>0</v>
      </c>
      <c r="BM121" s="624" t="b">
        <f t="shared" si="152"/>
        <v>0</v>
      </c>
      <c r="BN121" s="624" t="b">
        <f t="shared" si="153"/>
        <v>0</v>
      </c>
      <c r="BO121" s="624" t="b">
        <f t="shared" si="154"/>
        <v>0</v>
      </c>
      <c r="BP121" s="624" t="b">
        <f t="shared" si="155"/>
        <v>0</v>
      </c>
      <c r="BQ121" s="624" t="b">
        <f t="shared" si="156"/>
        <v>0</v>
      </c>
    </row>
    <row r="122" spans="1:69">
      <c r="A122" s="1086"/>
      <c r="B122" s="872"/>
      <c r="C122" s="874"/>
      <c r="D122" s="645"/>
      <c r="E122" s="645"/>
      <c r="F122" s="644"/>
      <c r="G122" s="644"/>
      <c r="H122" s="644"/>
      <c r="I122" s="635"/>
      <c r="J122" s="644">
        <f>IF(F122&lt;=1966,'Założenia,wskaźniki, listy'!$H$4,IF(F122&gt;1966,IF(F122&lt;=1985,'Założenia,wskaźniki, listy'!$H$5,IF(F122&gt;1985,IF(F122&lt;=1992,'Założenia,wskaźniki, listy'!$H$6,IF(F122&gt;1992,IF(F122&lt;=1996,'Założenia,wskaźniki, listy'!$H$7,IF(F122&gt;1996,IF(F122&lt;=2015,'Założenia,wskaźniki, listy'!$H$8)))))))))</f>
        <v>290</v>
      </c>
      <c r="K122" s="872"/>
      <c r="L122" s="644"/>
      <c r="M122" s="644"/>
      <c r="N122" s="644"/>
      <c r="O122" s="637">
        <f t="shared" si="134"/>
        <v>0</v>
      </c>
      <c r="P122" s="646">
        <f>IF(K122="kompletna",J122*G122*0.0036*'Założenia,wskaźniki, listy'!$P$9,IF(K122="częściowa",J122*G122*0.0036*'Założenia,wskaźniki, listy'!$P$10,IF(K122="brak",J122*G122*0.0036*'Założenia,wskaźniki, listy'!$P$11,0)))</f>
        <v>0</v>
      </c>
      <c r="Q122" s="638">
        <f>H122*'Założenia,wskaźniki, listy'!$L$15</f>
        <v>0</v>
      </c>
      <c r="R122" s="635">
        <f>IF(L122="węgiel",'Mieszkalne - baza'!M122*'Założenia,wskaźniki, listy'!$B$4,IF(L122="gaz",'Mieszkalne - baza'!M122*'Założenia,wskaźniki, listy'!$B$5,IF(L122="drewno",'Mieszkalne - baza'!M122*'Założenia,wskaźniki, listy'!$B$6,IF(L122="pelet",'Mieszkalne - baza'!M122*'Założenia,wskaźniki, listy'!$B$7,IF(L122="olej opałowy",'Mieszkalne - baza'!M122*'Założenia,wskaźniki, listy'!$B$8,IF(L122="sieć ciepłownicza",0,0))))))</f>
        <v>0</v>
      </c>
      <c r="S122" s="1085"/>
      <c r="T122" s="639">
        <f>IF(L122="węgiel",R122*'Założenia,wskaźniki, listy'!$C$44,IF(L122="gaz",R122*'Założenia,wskaźniki, listy'!$D$44,IF(L122="drewno",R122*'Założenia,wskaźniki, listy'!$E$44,IF(L122="pelet",R122*'Założenia,wskaźniki, listy'!$F$44,IF(L122="olej opałowy",R122*'Założenia,wskaźniki, listy'!$G$44,IF(L122="sieć ciepłownicza",0,IF(L122="prąd",0,0)))))))</f>
        <v>0</v>
      </c>
      <c r="U122" s="639">
        <f>IF(L122="węgiel",R122*'Założenia,wskaźniki, listy'!$C$45,IF(L122="gaz",R122*'Założenia,wskaźniki, listy'!$D$45,IF(L122="drewno",R122*'Założenia,wskaźniki, listy'!$E$45,IF(L122="pelet",R122*'Założenia,wskaźniki, listy'!$F$45,IF(L122="olej opałowy",R122*'Założenia,wskaźniki, listy'!$G$45,IF(L122="sieć ciepłownicza",0,IF(L122="prąd",0,0)))))))</f>
        <v>0</v>
      </c>
      <c r="V122" s="639">
        <f>IF(L122="węgiel",R122*'Założenia,wskaźniki, listy'!$C$46,IF(L122="gaz",R122*'Założenia,wskaźniki, listy'!$D$46,IF(L122="drewno",R122*'Założenia,wskaźniki, listy'!$E$46,IF(L122="pelet",R122*'Założenia,wskaźniki, listy'!$F$46,IF(L122="olej opałowy",R122*'Założenia,wskaźniki, listy'!$G$46,IF(L122="sieć ciepłownicza",R122*'Założenia,wskaźniki, listy'!$H$46,IF(L122="prąd",R122*'Założenia,wskaźniki, listy'!$I$46,0)))))))</f>
        <v>0</v>
      </c>
      <c r="W122" s="639">
        <f>IF(L122="węgiel",R122*'Założenia,wskaźniki, listy'!$C$47,IF(L122="gaz",R122*'Założenia,wskaźniki, listy'!$D$47,IF(L122="drewno",R122*'Założenia,wskaźniki, listy'!$E$47,IF(L122="pelet",R122*'Założenia,wskaźniki, listy'!$F$47,IF(L122="olej opałowy",R122*'Założenia,wskaźniki, listy'!$G$47,IF(L122="sieć ciepłownicza",0,IF(L122="prąd",0,0)))))))</f>
        <v>0</v>
      </c>
      <c r="X122" s="639">
        <f>IF(L122="węgiel",R122*'Założenia,wskaźniki, listy'!$C$48, IF(L122="gaz",R122*'Założenia,wskaźniki, listy'!$D$48,IF(L122="drewno",R122*'Założenia,wskaźniki, listy'!$E$48,IF(L122="pelet",R122*'Założenia,wskaźniki, listy'!$F$48,IF(L122="olej opałowy",R122*'Założenia,wskaźniki, listy'!$G$48,IF(L122="sieć ciepłownicza",0,IF(L122="prąd",0,0)))))))</f>
        <v>0</v>
      </c>
      <c r="Y122" s="639">
        <f>IF(L122="węgiel",R122*'Założenia,wskaźniki, listy'!$C$49, IF(L122="gaz",R122*'Założenia,wskaźniki, listy'!$D$49, IF(L122="drewno",R122*'Założenia,wskaźniki, listy'!$E$49,IF(L122="pelet",R122*'Założenia,wskaźniki, listy'!$F$49,IF(L122="olej opałowy",R122*'Założenia,wskaźniki, listy'!$G$49,IF(L122="sieć ciepłownicza",0,IF(L122="prąd",0,0)))))))</f>
        <v>0</v>
      </c>
      <c r="Z122" s="639">
        <f>IF(L122="węgiel",R122*'Założenia,wskaźniki, listy'!$C$50,IF(L122="gaz",R122*'Założenia,wskaźniki, listy'!$D$50, IF(L122="drewno",R122*'Założenia,wskaźniki, listy'!$E$50,IF(L122="pelet",R122*'Założenia,wskaźniki, listy'!$F$50,IF(L122="pelet",R122*'Założenia,wskaźniki, listy'!$F$50,IF(L122="olej opałowy",R122*'Założenia,wskaźniki, listy'!$G$50,IF(L122="sieć ciepłownicza",0,IF(L122="prąd",0,0))))))))</f>
        <v>0</v>
      </c>
      <c r="AA122" s="639">
        <f>IF(N122="węgiel",Q122*'Założenia,wskaźniki, listy'!$C$44,IF(N122="gaz",Q122*'Założenia,wskaźniki, listy'!$D$44,IF(N122="drewno",Q122*'Założenia,wskaźniki, listy'!$E$44,IF(N122="pelet",Q122*'Założenia,wskaźniki, listy'!$G$44,IF(N122="olej opałowy",Q122*'Założenia,wskaźniki, listy'!$G$44,IF(N122="sieć ciepłownicza",0,IF(N122="prąd",0,0)))))))</f>
        <v>0</v>
      </c>
      <c r="AB122" s="639">
        <f>IF(N122="węgiel",Q122*'Założenia,wskaźniki, listy'!$C$45,IF(N122="gaz",Q122*'Założenia,wskaźniki, listy'!$D$45,IF(N122="drewno",Q122*'Założenia,wskaźniki, listy'!$E$45,IF(N122="pelet",Q122*'Założenia,wskaźniki, listy'!$G$45,IF(N122="olej opałowy",Q122*'Założenia,wskaźniki, listy'!$G$45,IF(N122="sieć ciepłownicza",0,IF(N122="prąd",0,0)))))))</f>
        <v>0</v>
      </c>
      <c r="AC122" s="639">
        <f>IF(N122="węgiel",Q122*'Założenia,wskaźniki, listy'!$C$46,IF(N122="gaz",Q122*'Założenia,wskaźniki, listy'!$D$46,IF(N122="drewno",Q122*'Założenia,wskaźniki, listy'!$E$46,IF(N122="pelet",Q122*'Założenia,wskaźniki, listy'!$G$46,IF(N122="olej opałowy",Q122*'Założenia,wskaźniki, listy'!$G$46,IF(N122="sieć ciepłownicza",0,IF(N122="prąd",0,0)))))))</f>
        <v>0</v>
      </c>
      <c r="AD122" s="639">
        <f>IF(N122="węgiel",Q122*'Założenia,wskaźniki, listy'!$C$47,IF(N122="gaz",Q122*'Założenia,wskaźniki, listy'!$D$47,IF(N122="drewno",Q122*'Założenia,wskaźniki, listy'!$E$47,IF(N122="pelet",Q122*'Założenia,wskaźniki, listy'!$G$47,IF(N122="olej opałowy",Q122*'Założenia,wskaźniki, listy'!$G$47,IF(N122="sieć ciepłownicza",0,IF(N122="prąd",0,0)))))))</f>
        <v>0</v>
      </c>
      <c r="AE122" s="639">
        <f>IF(N122="węgiel",Q122*'Założenia,wskaźniki, listy'!$C$48,IF(N122="gaz",Q122*'Założenia,wskaźniki, listy'!$D$48,IF(N122="drewno",Q122*'Założenia,wskaźniki, listy'!$E$48,IF(N122="pelet",Q122*'Założenia,wskaźniki, listy'!$G$48,IF(N122="olej opałowy",Q122*'Założenia,wskaźniki, listy'!$G$48,IF(N122="sieć ciepłownicza",0,IF(N122="prąd",0,0)))))))</f>
        <v>0</v>
      </c>
      <c r="AF122" s="639">
        <f>IF(N122="węgiel",Q122*'Założenia,wskaźniki, listy'!$C$49,IF(N122="gaz",Q122*'Założenia,wskaźniki, listy'!$D$49,IF(N122="drewno",Q122*'Założenia,wskaźniki, listy'!$E$49,IF(N122="pelet",Q122*'Założenia,wskaźniki, listy'!$G$49,IF(N122="olej opałowy",Q122*'Założenia,wskaźniki, listy'!$G$49,IF(N122="sieć ciepłownicza",0,IF(N122="prąd",0,0)))))))</f>
        <v>0</v>
      </c>
      <c r="AG122" s="639">
        <f>IF(N122="węgiel",Q122*'Założenia,wskaźniki, listy'!$C$50,IF(N122="gaz",Q122*'Założenia,wskaźniki, listy'!$D$50,IF(N122="drewno",Q122*'Założenia,wskaźniki, listy'!$E$50,IF(N122="pelet",Q122*'Założenia,wskaźniki, listy'!$G$50,IF(N122="olej opałowy",Q122*'Założenia,wskaźniki, listy'!$G$50,IF(N122="sieć ciepłownicza",0,IF(N122="prąd",0,0)))))))</f>
        <v>0</v>
      </c>
      <c r="AH122" s="640">
        <f>IF(L122="węgiel",(P122+R122)/2*'Założenia,wskaźniki, listy'!$C$4,IF(L122="gaz",(P122+R122)/2*'Założenia,wskaźniki, listy'!$C$5,IF(L122="drewno",(P122+R122)/2*'Założenia,wskaźniki, listy'!$C$6,IF(L122="pelet",(P122+R122)/2*'Założenia,wskaźniki, listy'!$C$7,IF(L122="olej opałowy",(P122+R122)/2*'Założenia,wskaźniki, listy'!$C$8,IF(L122="sieć ciepłownicza",(P122+R122)/2*'Założenia,wskaźniki, listy'!$C$9,IF(L122="sieć ciepłownicza",(P122+R122)/2*'Założenia,wskaźniki, listy'!$C$10,)))))))</f>
        <v>0</v>
      </c>
      <c r="AI122" s="640">
        <f>IF(N122="węgiel",Q122*'Założenia,wskaźniki, listy'!$C$4,IF(N122="gaz",Q122*'Założenia,wskaźniki, listy'!$C$5,IF(N122="drewno",Q122*'Założenia,wskaźniki, listy'!$C$6,IF(N122="pelet",Q122*'Założenia,wskaźniki, listy'!$C$7,IF(N122="olej opałowy",Q122*'Założenia,wskaźniki, listy'!$C$8,IF(N122="sieć ciepłownicza",Q122*'Założenia,wskaźniki, listy'!$C$9,IF(N122="sieć ciepłownicza",Q122*'Założenia,wskaźniki, listy'!$C$10,0)))))))</f>
        <v>0</v>
      </c>
      <c r="AJ122" s="640">
        <f>S122*'Założenia,wskaźniki, listy'!$B$64*1000</f>
        <v>0</v>
      </c>
      <c r="AK122" s="640">
        <f>(H122+I122)*'Założenia,wskaźniki, listy'!$D$64*12</f>
        <v>0</v>
      </c>
      <c r="AL122" s="640">
        <f>AK122*'Założenia,wskaźniki, listy'!$F$64</f>
        <v>0</v>
      </c>
      <c r="AM122" s="639">
        <f t="shared" si="206"/>
        <v>0</v>
      </c>
      <c r="AN122" s="639">
        <f t="shared" si="207"/>
        <v>0</v>
      </c>
      <c r="AO122" s="639">
        <f>V122+AC122+S122*'Założenia,wskaźniki, listy'!$J$46</f>
        <v>0</v>
      </c>
      <c r="AP122" s="639">
        <f t="shared" si="208"/>
        <v>0</v>
      </c>
      <c r="AQ122" s="639">
        <f t="shared" si="209"/>
        <v>0</v>
      </c>
      <c r="AR122" s="639">
        <f t="shared" si="210"/>
        <v>0</v>
      </c>
      <c r="AS122" s="639">
        <f t="shared" si="211"/>
        <v>0</v>
      </c>
      <c r="AT122" s="647"/>
      <c r="AU122" s="647"/>
      <c r="AV122" s="624">
        <f t="shared" si="135"/>
        <v>0</v>
      </c>
      <c r="AW122" s="624" t="b">
        <f t="shared" si="136"/>
        <v>0</v>
      </c>
      <c r="AX122" s="624" t="b">
        <f t="shared" si="137"/>
        <v>0</v>
      </c>
      <c r="AY122" s="624" t="b">
        <f t="shared" si="138"/>
        <v>0</v>
      </c>
      <c r="AZ122" s="624" t="b">
        <f t="shared" si="139"/>
        <v>0</v>
      </c>
      <c r="BA122" s="624" t="b">
        <f t="shared" si="140"/>
        <v>0</v>
      </c>
      <c r="BB122" s="624" t="b">
        <f t="shared" si="141"/>
        <v>0</v>
      </c>
      <c r="BC122" s="624" t="b">
        <f t="shared" si="142"/>
        <v>0</v>
      </c>
      <c r="BD122" s="624" t="b">
        <f t="shared" si="143"/>
        <v>0</v>
      </c>
      <c r="BE122" s="624" t="b">
        <f t="shared" si="144"/>
        <v>0</v>
      </c>
      <c r="BF122" s="624" t="b">
        <f t="shared" si="145"/>
        <v>0</v>
      </c>
      <c r="BG122" s="624" t="b">
        <f t="shared" si="146"/>
        <v>0</v>
      </c>
      <c r="BH122" s="624" t="b">
        <f t="shared" si="147"/>
        <v>0</v>
      </c>
      <c r="BI122" s="624" t="b">
        <f t="shared" si="148"/>
        <v>0</v>
      </c>
      <c r="BJ122" s="624" t="b">
        <f t="shared" si="149"/>
        <v>0</v>
      </c>
      <c r="BK122" s="624" t="b">
        <f t="shared" si="150"/>
        <v>0</v>
      </c>
      <c r="BL122" s="624" t="b">
        <f t="shared" si="151"/>
        <v>0</v>
      </c>
      <c r="BM122" s="624" t="b">
        <f t="shared" si="152"/>
        <v>0</v>
      </c>
      <c r="BN122" s="624" t="b">
        <f t="shared" si="153"/>
        <v>0</v>
      </c>
      <c r="BO122" s="624" t="b">
        <f t="shared" si="154"/>
        <v>0</v>
      </c>
      <c r="BP122" s="624" t="b">
        <f t="shared" si="155"/>
        <v>0</v>
      </c>
      <c r="BQ122" s="624" t="b">
        <f t="shared" si="156"/>
        <v>0</v>
      </c>
    </row>
    <row r="123" spans="1:69">
      <c r="A123" s="1086">
        <v>60</v>
      </c>
      <c r="B123" s="872" t="s">
        <v>21</v>
      </c>
      <c r="C123" s="873" t="s">
        <v>634</v>
      </c>
      <c r="D123" s="645"/>
      <c r="E123" s="645">
        <v>13</v>
      </c>
      <c r="F123" s="644">
        <v>1980</v>
      </c>
      <c r="G123" s="644">
        <v>200</v>
      </c>
      <c r="H123" s="644"/>
      <c r="I123" s="635"/>
      <c r="J123" s="644">
        <f>IF(F123&lt;=1966,'Założenia,wskaźniki, listy'!$H$4,IF(F123&gt;1966,IF(F123&lt;=1985,'Założenia,wskaźniki, listy'!$H$5,IF(F123&gt;1985,IF(F123&lt;=1992,'Założenia,wskaźniki, listy'!$H$6,IF(F123&gt;1992,IF(F123&lt;=1996,'Założenia,wskaźniki, listy'!$H$7,IF(F123&gt;1996,IF(F123&lt;=2015,'Założenia,wskaźniki, listy'!$H$8)))))))))</f>
        <v>250</v>
      </c>
      <c r="K123" s="864" t="s">
        <v>31</v>
      </c>
      <c r="L123" s="644" t="s">
        <v>8</v>
      </c>
      <c r="M123" s="644">
        <v>5</v>
      </c>
      <c r="N123" s="644"/>
      <c r="O123" s="637">
        <f t="shared" si="134"/>
        <v>146.52500000000001</v>
      </c>
      <c r="P123" s="646">
        <f>IF(K123="kompletna",J123*G123*0.0036*'Założenia,wskaźniki, listy'!$P$9,IF(K123="częściowa",J123*G123*0.0036*'Założenia,wskaźniki, listy'!$P$10,IF(K123="brak",J123*G123*0.0036*'Założenia,wskaźniki, listy'!$P$11,0)))</f>
        <v>180</v>
      </c>
      <c r="Q123" s="638">
        <f>H123*'Założenia,wskaźniki, listy'!$L$15</f>
        <v>0</v>
      </c>
      <c r="R123" s="635">
        <f>IF(L123="węgiel",'Mieszkalne - baza'!M123*'Założenia,wskaźniki, listy'!$B$4,IF(L123="gaz",'Mieszkalne - baza'!M123*'Założenia,wskaźniki, listy'!$B$5,IF(L123="drewno",'Mieszkalne - baza'!M123*'Założenia,wskaźniki, listy'!$B$6,IF(L123="pelet",'Mieszkalne - baza'!M123*'Założenia,wskaźniki, listy'!$B$7,IF(L123="olej opałowy",'Mieszkalne - baza'!M123*'Założenia,wskaźniki, listy'!$B$8,IF(L123="sieć ciepłownicza",0,0))))))</f>
        <v>113.05</v>
      </c>
      <c r="S123" s="1084">
        <v>1.6919999999999999</v>
      </c>
      <c r="T123" s="639">
        <f>IF(L123="węgiel",R123*'Założenia,wskaźniki, listy'!$C$44,IF(L123="gaz",R123*'Założenia,wskaźniki, listy'!$D$44,IF(L123="drewno",R123*'Założenia,wskaźniki, listy'!$E$44,IF(L123="pelet",R123*'Założenia,wskaźniki, listy'!$F$44,IF(L123="olej opałowy",R123*'Założenia,wskaźniki, listy'!$G$44,IF(L123="sieć ciepłownicza",0,IF(L123="prąd",0,0)))))))</f>
        <v>2.5436249999999997E-2</v>
      </c>
      <c r="U123" s="639">
        <f>IF(L123="węgiel",R123*'Założenia,wskaźniki, listy'!$C$45,IF(L123="gaz",R123*'Założenia,wskaźniki, listy'!$D$45,IF(L123="drewno",R123*'Założenia,wskaźniki, listy'!$E$45,IF(L123="pelet",R123*'Założenia,wskaźniki, listy'!$F$45,IF(L123="olej opałowy",R123*'Założenia,wskaźniki, listy'!$G$45,IF(L123="sieć ciepłownicza",0,IF(L123="prąd",0,0)))))))</f>
        <v>2.2723050000000002E-2</v>
      </c>
      <c r="V123" s="639">
        <f>IF(L123="węgiel",R123*'Założenia,wskaźniki, listy'!$C$46,IF(L123="gaz",R123*'Założenia,wskaźniki, listy'!$D$46,IF(L123="drewno",R123*'Założenia,wskaźniki, listy'!$E$46,IF(L123="pelet",R123*'Założenia,wskaźniki, listy'!$F$46,IF(L123="olej opałowy",R123*'Założenia,wskaźniki, listy'!$G$46,IF(L123="sieć ciepłownicza",R123*'Założenia,wskaźniki, listy'!$H$46,IF(L123="prąd",R123*'Założenia,wskaźniki, listy'!$I$46,0)))))))</f>
        <v>10.597306999999999</v>
      </c>
      <c r="W123" s="639">
        <f>IF(L123="węgiel",R123*'Założenia,wskaźniki, listy'!$C$47,IF(L123="gaz",R123*'Założenia,wskaźniki, listy'!$D$47,IF(L123="drewno",R123*'Założenia,wskaźniki, listy'!$E$47,IF(L123="pelet",R123*'Założenia,wskaźniki, listy'!$F$47,IF(L123="olej opałowy",R123*'Założenia,wskaźniki, listy'!$G$47,IF(L123="sieć ciepłownicza",0,IF(L123="prąd",0,0)))))))</f>
        <v>3.05235E-5</v>
      </c>
      <c r="X123" s="639">
        <f>IF(L123="węgiel",R123*'Założenia,wskaźniki, listy'!$C$48, IF(L123="gaz",R123*'Założenia,wskaźniki, listy'!$D$48,IF(L123="drewno",R123*'Założenia,wskaźniki, listy'!$E$48,IF(L123="pelet",R123*'Założenia,wskaźniki, listy'!$F$48,IF(L123="olej opałowy",R123*'Założenia,wskaźniki, listy'!$G$48,IF(L123="sieć ciepłownicza",0,IF(L123="prąd",0,0)))))))</f>
        <v>0.10174499999999999</v>
      </c>
      <c r="Y123" s="639">
        <f>IF(L123="węgiel",R123*'Założenia,wskaźniki, listy'!$C$49, IF(L123="gaz",R123*'Założenia,wskaźniki, listy'!$D$49, IF(L123="drewno",R123*'Założenia,wskaźniki, listy'!$E$49,IF(L123="pelet",R123*'Założenia,wskaźniki, listy'!$F$49,IF(L123="olej opałowy",R123*'Założenia,wskaźniki, listy'!$G$49,IF(L123="sieć ciepłownicza",0,IF(L123="prąd",0,0)))))))</f>
        <v>1.78619E-2</v>
      </c>
      <c r="Z123" s="639">
        <f>IF(L123="węgiel",R123*'Założenia,wskaźniki, listy'!$C$50,IF(L123="gaz",R123*'Założenia,wskaźniki, listy'!$D$50, IF(L123="drewno",R123*'Założenia,wskaźniki, listy'!$E$50,IF(L123="pelet",R123*'Założenia,wskaźniki, listy'!$F$50,IF(L123="pelet",R123*'Założenia,wskaźniki, listy'!$F$50,IF(L123="olej opałowy",R123*'Założenia,wskaźniki, listy'!$G$50,IF(L123="sieć ciepłownicza",0,IF(L123="prąd",0,0))))))))</f>
        <v>0.22741394725078226</v>
      </c>
      <c r="AA123" s="639">
        <f>IF(N123="węgiel",Q123*'Założenia,wskaźniki, listy'!$C$44,IF(N123="gaz",Q123*'Założenia,wskaźniki, listy'!$D$44,IF(N123="drewno",Q123*'Założenia,wskaźniki, listy'!$E$44,IF(N123="pelet",Q123*'Założenia,wskaźniki, listy'!$G$44,IF(N123="olej opałowy",Q123*'Założenia,wskaźniki, listy'!$G$44,IF(N123="sieć ciepłownicza",0,IF(N123="prąd",0,0)))))))</f>
        <v>0</v>
      </c>
      <c r="AB123" s="639">
        <f>IF(N123="węgiel",Q123*'Założenia,wskaźniki, listy'!$C$45,IF(N123="gaz",Q123*'Założenia,wskaźniki, listy'!$D$45,IF(N123="drewno",Q123*'Założenia,wskaźniki, listy'!$E$45,IF(N123="pelet",Q123*'Założenia,wskaźniki, listy'!$G$45,IF(N123="olej opałowy",Q123*'Założenia,wskaźniki, listy'!$G$45,IF(N123="sieć ciepłownicza",0,IF(N123="prąd",0,0)))))))</f>
        <v>0</v>
      </c>
      <c r="AC123" s="639">
        <f>IF(N123="węgiel",Q123*'Założenia,wskaźniki, listy'!$C$46,IF(N123="gaz",Q123*'Założenia,wskaźniki, listy'!$D$46,IF(N123="drewno",Q123*'Założenia,wskaźniki, listy'!$E$46,IF(N123="pelet",Q123*'Założenia,wskaźniki, listy'!$G$46,IF(N123="olej opałowy",Q123*'Założenia,wskaźniki, listy'!$G$46,IF(N123="sieć ciepłownicza",0,IF(N123="prąd",0,0)))))))</f>
        <v>0</v>
      </c>
      <c r="AD123" s="639">
        <f>IF(N123="węgiel",Q123*'Założenia,wskaźniki, listy'!$C$47,IF(N123="gaz",Q123*'Założenia,wskaźniki, listy'!$D$47,IF(N123="drewno",Q123*'Założenia,wskaźniki, listy'!$E$47,IF(N123="pelet",Q123*'Założenia,wskaźniki, listy'!$G$47,IF(N123="olej opałowy",Q123*'Założenia,wskaźniki, listy'!$G$47,IF(N123="sieć ciepłownicza",0,IF(N123="prąd",0,0)))))))</f>
        <v>0</v>
      </c>
      <c r="AE123" s="639">
        <f>IF(N123="węgiel",Q123*'Założenia,wskaźniki, listy'!$C$48,IF(N123="gaz",Q123*'Założenia,wskaźniki, listy'!$D$48,IF(N123="drewno",Q123*'Założenia,wskaźniki, listy'!$E$48,IF(N123="pelet",Q123*'Założenia,wskaźniki, listy'!$G$48,IF(N123="olej opałowy",Q123*'Założenia,wskaźniki, listy'!$G$48,IF(N123="sieć ciepłownicza",0,IF(N123="prąd",0,0)))))))</f>
        <v>0</v>
      </c>
      <c r="AF123" s="639">
        <f>IF(N123="węgiel",Q123*'Założenia,wskaźniki, listy'!$C$49,IF(N123="gaz",Q123*'Założenia,wskaźniki, listy'!$D$49,IF(N123="drewno",Q123*'Założenia,wskaźniki, listy'!$E$49,IF(N123="pelet",Q123*'Założenia,wskaźniki, listy'!$G$49,IF(N123="olej opałowy",Q123*'Założenia,wskaźniki, listy'!$G$49,IF(N123="sieć ciepłownicza",0,IF(N123="prąd",0,0)))))))</f>
        <v>0</v>
      </c>
      <c r="AG123" s="639">
        <f>IF(N123="węgiel",Q123*'Założenia,wskaźniki, listy'!$C$50,IF(N123="gaz",Q123*'Założenia,wskaźniki, listy'!$D$50,IF(N123="drewno",Q123*'Założenia,wskaźniki, listy'!$E$50,IF(N123="pelet",Q123*'Założenia,wskaźniki, listy'!$G$50,IF(N123="olej opałowy",Q123*'Założenia,wskaźniki, listy'!$G$50,IF(N123="sieć ciepłownicza",0,IF(N123="prąd",0,0)))))))</f>
        <v>0</v>
      </c>
      <c r="AH123" s="640">
        <f>IF(L123="węgiel",(P123+R123)/2*'Założenia,wskaźniki, listy'!$C$4,IF(L123="gaz",(P123+R123)/2*'Założenia,wskaźniki, listy'!$C$5,IF(L123="drewno",(P123+R123)/2*'Założenia,wskaźniki, listy'!$C$6,IF(L123="pelet",(P123+R123)/2*'Założenia,wskaźniki, listy'!$C$7,IF(L123="olej opałowy",(P123+R123)/2*'Założenia,wskaźniki, listy'!$C$8,IF(L123="sieć ciepłownicza",(P123+R123)/2*'Założenia,wskaźniki, listy'!$C$9,IF(L123="sieć ciepłownicza",(P123+R123)/2*'Założenia,wskaźniki, listy'!$C$10,)))))))</f>
        <v>6007.5250000000005</v>
      </c>
      <c r="AI123" s="640">
        <f>IF(N123="węgiel",Q123*'Założenia,wskaźniki, listy'!$C$4,IF(N123="gaz",Q123*'Założenia,wskaźniki, listy'!$C$5,IF(N123="drewno",Q123*'Założenia,wskaźniki, listy'!$C$6,IF(N123="pelet",Q123*'Założenia,wskaźniki, listy'!$C$7,IF(N123="olej opałowy",Q123*'Założenia,wskaźniki, listy'!$C$8,IF(N123="sieć ciepłownicza",Q123*'Założenia,wskaźniki, listy'!$C$9,IF(N123="sieć ciepłownicza",Q123*'Założenia,wskaźniki, listy'!$C$10,0)))))))</f>
        <v>0</v>
      </c>
      <c r="AJ123" s="640">
        <f>S123*'Założenia,wskaźniki, listy'!$B$64*1000</f>
        <v>1201.32</v>
      </c>
      <c r="AK123" s="640">
        <f>(H123+I123)*'Założenia,wskaźniki, listy'!$D$64*12</f>
        <v>0</v>
      </c>
      <c r="AL123" s="640">
        <f>AK123*'Założenia,wskaźniki, listy'!$F$64</f>
        <v>0</v>
      </c>
      <c r="AM123" s="639">
        <f t="shared" si="206"/>
        <v>2.5436249999999997E-2</v>
      </c>
      <c r="AN123" s="639">
        <f t="shared" si="207"/>
        <v>2.2723050000000002E-2</v>
      </c>
      <c r="AO123" s="639">
        <f>V123+AC123+S123*'Założenia,wskaźniki, listy'!$J$46</f>
        <v>12.004204999999999</v>
      </c>
      <c r="AP123" s="639">
        <f t="shared" si="208"/>
        <v>3.05235E-5</v>
      </c>
      <c r="AQ123" s="639">
        <f t="shared" si="209"/>
        <v>0.10174499999999999</v>
      </c>
      <c r="AR123" s="639">
        <f t="shared" si="210"/>
        <v>1.78619E-2</v>
      </c>
      <c r="AS123" s="639">
        <f t="shared" si="211"/>
        <v>0.22741394725078226</v>
      </c>
      <c r="AT123" s="647"/>
      <c r="AU123" s="647"/>
      <c r="AV123" s="624" t="b">
        <f t="shared" si="135"/>
        <v>0</v>
      </c>
      <c r="AW123" s="624" t="b">
        <f t="shared" si="136"/>
        <v>0</v>
      </c>
      <c r="AX123" s="624">
        <f t="shared" si="137"/>
        <v>200</v>
      </c>
      <c r="AY123" s="624" t="b">
        <f t="shared" si="138"/>
        <v>0</v>
      </c>
      <c r="AZ123" s="624" t="b">
        <f t="shared" si="139"/>
        <v>0</v>
      </c>
      <c r="BA123" s="624" t="b">
        <f t="shared" si="140"/>
        <v>0</v>
      </c>
      <c r="BB123" s="624" t="b">
        <f t="shared" si="141"/>
        <v>0</v>
      </c>
      <c r="BC123" s="624" t="b">
        <f t="shared" si="142"/>
        <v>0</v>
      </c>
      <c r="BD123" s="624" t="b">
        <f t="shared" si="143"/>
        <v>0</v>
      </c>
      <c r="BE123" s="624" t="b">
        <f t="shared" si="144"/>
        <v>0</v>
      </c>
      <c r="BF123" s="624">
        <f t="shared" si="145"/>
        <v>113.05</v>
      </c>
      <c r="BG123" s="624" t="b">
        <f t="shared" si="146"/>
        <v>0</v>
      </c>
      <c r="BH123" s="624" t="b">
        <f t="shared" si="147"/>
        <v>0</v>
      </c>
      <c r="BI123" s="624" t="b">
        <f t="shared" si="148"/>
        <v>0</v>
      </c>
      <c r="BJ123" s="624" t="b">
        <f t="shared" si="149"/>
        <v>0</v>
      </c>
      <c r="BK123" s="624" t="b">
        <f t="shared" si="150"/>
        <v>0</v>
      </c>
      <c r="BL123" s="624" t="b">
        <f t="shared" si="151"/>
        <v>0</v>
      </c>
      <c r="BM123" s="624" t="b">
        <f t="shared" si="152"/>
        <v>0</v>
      </c>
      <c r="BN123" s="624" t="b">
        <f t="shared" si="153"/>
        <v>0</v>
      </c>
      <c r="BO123" s="624" t="b">
        <f t="shared" si="154"/>
        <v>0</v>
      </c>
      <c r="BP123" s="624" t="b">
        <f t="shared" si="155"/>
        <v>0</v>
      </c>
      <c r="BQ123" s="624" t="b">
        <f t="shared" si="156"/>
        <v>0</v>
      </c>
    </row>
    <row r="124" spans="1:69" ht="8.25" customHeight="1">
      <c r="A124" s="1086"/>
      <c r="B124" s="872"/>
      <c r="C124" s="872"/>
      <c r="D124" s="645"/>
      <c r="E124" s="645"/>
      <c r="F124" s="644"/>
      <c r="G124" s="644"/>
      <c r="H124" s="644"/>
      <c r="I124" s="635"/>
      <c r="J124" s="644">
        <f>IF(F124&lt;=1966,'Założenia,wskaźniki, listy'!$H$4,IF(F124&gt;1966,IF(F124&lt;=1985,'Założenia,wskaźniki, listy'!$H$5,IF(F124&gt;1985,IF(F124&lt;=1992,'Założenia,wskaźniki, listy'!$H$6,IF(F124&gt;1992,IF(F124&lt;=1996,'Założenia,wskaźniki, listy'!$H$7,IF(F124&gt;1996,IF(F124&lt;=2015,'Założenia,wskaźniki, listy'!$H$8)))))))))</f>
        <v>290</v>
      </c>
      <c r="K124" s="872"/>
      <c r="L124" s="644" t="s">
        <v>79</v>
      </c>
      <c r="M124" s="644">
        <v>2</v>
      </c>
      <c r="N124" s="644"/>
      <c r="O124" s="637">
        <f t="shared" ref="O124" si="212">IF(P124&gt;0,(Q124+R124+P124)/2,Q124+R124)</f>
        <v>30</v>
      </c>
      <c r="P124" s="646">
        <f>IF(K124="kompletna",J124*G124*0.0036*'Założenia,wskaźniki, listy'!$P$9,IF(K124="częściowa",J124*G124*0.0036*'Założenia,wskaźniki, listy'!$P$10,IF(K124="brak",J124*G124*0.0036*'Założenia,wskaźniki, listy'!$P$11,0)))</f>
        <v>0</v>
      </c>
      <c r="Q124" s="638">
        <f>H124*'Założenia,wskaźniki, listy'!$L$15</f>
        <v>0</v>
      </c>
      <c r="R124" s="635">
        <f>IF(L124="węgiel",'Mieszkalne - baza'!M124*'Założenia,wskaźniki, listy'!$B$4,IF(L124="gaz",'Mieszkalne - baza'!M124*'Założenia,wskaźniki, listy'!$B$5,IF(L124="drewno",'Mieszkalne - baza'!M124*'Założenia,wskaźniki, listy'!$B$6,IF(L124="pelet",'Mieszkalne - baza'!M124*'Założenia,wskaźniki, listy'!$B$7,IF(L124="olej opałowy",'Mieszkalne - baza'!M124*'Założenia,wskaźniki, listy'!$B$8,IF(L124="sieć ciepłownicza",0,0))))))</f>
        <v>30</v>
      </c>
      <c r="S124" s="1085"/>
      <c r="T124" s="639">
        <f>IF(L124="węgiel",R124*'Założenia,wskaźniki, listy'!$C$44,IF(L124="gaz",R124*'Założenia,wskaźniki, listy'!$D$44,IF(L124="drewno",R124*'Założenia,wskaźniki, listy'!$E$44,IF(L124="pelet",R124*'Założenia,wskaźniki, listy'!$F$44,IF(L124="olej opałowy",R124*'Założenia,wskaźniki, listy'!$G$44,IF(L124="sieć ciepłownicza",0,IF(L124="prąd",0,0)))))))</f>
        <v>1.44E-2</v>
      </c>
      <c r="U124" s="639">
        <f>IF(L124="węgiel",R124*'Założenia,wskaźniki, listy'!$C$45,IF(L124="gaz",R124*'Założenia,wskaźniki, listy'!$D$45,IF(L124="drewno",R124*'Założenia,wskaźniki, listy'!$E$45,IF(L124="pelet",R124*'Założenia,wskaźniki, listy'!$F$45,IF(L124="olej opałowy",R124*'Założenia,wskaźniki, listy'!$G$45,IF(L124="sieć ciepłownicza",0,IF(L124="prąd",0,0)))))))</f>
        <v>1.41E-2</v>
      </c>
      <c r="V124" s="639">
        <f>IF(L124="węgiel",R124*'Założenia,wskaźniki, listy'!$C$46,IF(L124="gaz",R124*'Założenia,wskaźniki, listy'!$D$46,IF(L124="drewno",R124*'Założenia,wskaźniki, listy'!$E$46,IF(L124="pelet",R124*'Założenia,wskaźniki, listy'!$F$46,IF(L124="olej opałowy",R124*'Założenia,wskaźniki, listy'!$G$46,IF(L124="sieć ciepłownicza",R124*'Założenia,wskaźniki, listy'!$H$46,IF(L124="prąd",R124*'Założenia,wskaźniki, listy'!$I$46,0)))))))</f>
        <v>0</v>
      </c>
      <c r="W124" s="639">
        <f>IF(L124="węgiel",R124*'Założenia,wskaźniki, listy'!$C$47,IF(L124="gaz",R124*'Założenia,wskaźniki, listy'!$D$47,IF(L124="drewno",R124*'Założenia,wskaźniki, listy'!$E$47,IF(L124="pelet",R124*'Założenia,wskaźniki, listy'!$F$47,IF(L124="olej opałowy",R124*'Założenia,wskaźniki, listy'!$G$47,IF(L124="sieć ciepłownicza",0,IF(L124="prąd",0,0)))))))</f>
        <v>3.6300000000000004E-6</v>
      </c>
      <c r="X124" s="639">
        <f>IF(L124="węgiel",R124*'Założenia,wskaźniki, listy'!$C$48, IF(L124="gaz",R124*'Założenia,wskaźniki, listy'!$D$48,IF(L124="drewno",R124*'Założenia,wskaźniki, listy'!$E$48,IF(L124="pelet",R124*'Założenia,wskaźniki, listy'!$F$48,IF(L124="olej opałowy",R124*'Założenia,wskaźniki, listy'!$G$48,IF(L124="sieć ciepłownicza",0,IF(L124="prąd",0,0)))))))</f>
        <v>3.3E-4</v>
      </c>
      <c r="Y124" s="639">
        <f>IF(L124="węgiel",R124*'Założenia,wskaźniki, listy'!$C$49, IF(L124="gaz",R124*'Założenia,wskaźniki, listy'!$D$49, IF(L124="drewno",R124*'Założenia,wskaźniki, listy'!$E$49,IF(L124="pelet",R124*'Założenia,wskaźniki, listy'!$F$49,IF(L124="olej opałowy",R124*'Założenia,wskaźniki, listy'!$G$49,IF(L124="sieć ciepłownicza",0,IF(L124="prąd",0,0)))))))</f>
        <v>2.4000000000000002E-3</v>
      </c>
      <c r="Z124" s="639">
        <f>IF(L124="węgiel",R124*'Założenia,wskaźniki, listy'!$C$50,IF(L124="gaz",R124*'Założenia,wskaźniki, listy'!$D$50, IF(L124="drewno",R124*'Założenia,wskaźniki, listy'!$E$50,IF(L124="pelet",R124*'Założenia,wskaźniki, listy'!$F$50,IF(L124="pelet",R124*'Założenia,wskaźniki, listy'!$F$50,IF(L124="olej opałowy",R124*'Założenia,wskaźniki, listy'!$G$50,IF(L124="sieć ciepłownicza",0,IF(L124="prąd",0,0))))))))</f>
        <v>5.3819999999999996E-3</v>
      </c>
      <c r="AA124" s="639">
        <f>IF(N124="węgiel",Q124*'Założenia,wskaźniki, listy'!$C$44,IF(N124="gaz",Q124*'Założenia,wskaźniki, listy'!$D$44,IF(N124="drewno",Q124*'Założenia,wskaźniki, listy'!$E$44,IF(N124="pelet",Q124*'Założenia,wskaźniki, listy'!$G$44,IF(N124="olej opałowy",Q124*'Założenia,wskaźniki, listy'!$G$44,IF(N124="sieć ciepłownicza",0,IF(N124="prąd",0,0)))))))</f>
        <v>0</v>
      </c>
      <c r="AB124" s="639">
        <f>IF(N124="węgiel",Q124*'Założenia,wskaźniki, listy'!$C$45,IF(N124="gaz",Q124*'Założenia,wskaźniki, listy'!$D$45,IF(N124="drewno",Q124*'Założenia,wskaźniki, listy'!$E$45,IF(N124="pelet",Q124*'Założenia,wskaźniki, listy'!$G$45,IF(N124="olej opałowy",Q124*'Założenia,wskaźniki, listy'!$G$45,IF(N124="sieć ciepłownicza",0,IF(N124="prąd",0,0)))))))</f>
        <v>0</v>
      </c>
      <c r="AC124" s="639">
        <f>IF(N124="węgiel",Q124*'Założenia,wskaźniki, listy'!$C$46,IF(N124="gaz",Q124*'Założenia,wskaźniki, listy'!$D$46,IF(N124="drewno",Q124*'Założenia,wskaźniki, listy'!$E$46,IF(N124="pelet",Q124*'Założenia,wskaźniki, listy'!$G$46,IF(N124="olej opałowy",Q124*'Założenia,wskaźniki, listy'!$G$46,IF(N124="sieć ciepłownicza",0,IF(N124="prąd",0,0)))))))</f>
        <v>0</v>
      </c>
      <c r="AD124" s="639">
        <f>IF(N124="węgiel",Q124*'Założenia,wskaźniki, listy'!$C$47,IF(N124="gaz",Q124*'Założenia,wskaźniki, listy'!$D$47,IF(N124="drewno",Q124*'Założenia,wskaźniki, listy'!$E$47,IF(N124="pelet",Q124*'Założenia,wskaźniki, listy'!$G$47,IF(N124="olej opałowy",Q124*'Założenia,wskaźniki, listy'!$G$47,IF(N124="sieć ciepłownicza",0,IF(N124="prąd",0,0)))))))</f>
        <v>0</v>
      </c>
      <c r="AE124" s="639">
        <f>IF(N124="węgiel",Q124*'Założenia,wskaźniki, listy'!$C$48,IF(N124="gaz",Q124*'Założenia,wskaźniki, listy'!$D$48,IF(N124="drewno",Q124*'Założenia,wskaźniki, listy'!$E$48,IF(N124="pelet",Q124*'Założenia,wskaźniki, listy'!$G$48,IF(N124="olej opałowy",Q124*'Założenia,wskaźniki, listy'!$G$48,IF(N124="sieć ciepłownicza",0,IF(N124="prąd",0,0)))))))</f>
        <v>0</v>
      </c>
      <c r="AF124" s="639">
        <f>IF(N124="węgiel",Q124*'Założenia,wskaźniki, listy'!$C$49,IF(N124="gaz",Q124*'Założenia,wskaźniki, listy'!$D$49,IF(N124="drewno",Q124*'Założenia,wskaźniki, listy'!$E$49,IF(N124="pelet",Q124*'Założenia,wskaźniki, listy'!$G$49,IF(N124="olej opałowy",Q124*'Założenia,wskaźniki, listy'!$G$49,IF(N124="sieć ciepłownicza",0,IF(N124="prąd",0,0)))))))</f>
        <v>0</v>
      </c>
      <c r="AG124" s="639">
        <f>IF(N124="węgiel",Q124*'Założenia,wskaźniki, listy'!$C$50,IF(N124="gaz",Q124*'Założenia,wskaźniki, listy'!$D$50,IF(N124="drewno",Q124*'Założenia,wskaźniki, listy'!$E$50,IF(N124="pelet",Q124*'Założenia,wskaźniki, listy'!$G$50,IF(N124="olej opałowy",Q124*'Założenia,wskaźniki, listy'!$G$50,IF(N124="sieć ciepłownicza",0,IF(N124="prąd",0,0)))))))</f>
        <v>0</v>
      </c>
      <c r="AH124" s="640">
        <f>IF(L124="węgiel",(P124+R124)/2*'Założenia,wskaźniki, listy'!$C$4,IF(L124="gaz",(P124+R124)/2*'Założenia,wskaźniki, listy'!$C$5,IF(L124="drewno",(P124+R124)/2*'Założenia,wskaźniki, listy'!$C$6,IF(L124="pelet",(P124+R124)/2*'Założenia,wskaźniki, listy'!$C$7,IF(L124="olej opałowy",(P124+R124)/2*'Założenia,wskaźniki, listy'!$C$8,IF(L124="sieć ciepłownicza",(P124+R124)/2*'Założenia,wskaźniki, listy'!$C$9,IF(L124="sieć ciepłownicza",(P124+R124)/2*'Założenia,wskaźniki, listy'!$C$10,)))))))</f>
        <v>570</v>
      </c>
      <c r="AI124" s="640">
        <f>IF(N124="węgiel",Q124*'Założenia,wskaźniki, listy'!$C$4,IF(N124="gaz",Q124*'Założenia,wskaźniki, listy'!$C$5,IF(N124="drewno",Q124*'Założenia,wskaźniki, listy'!$C$6,IF(N124="pelet",Q124*'Założenia,wskaźniki, listy'!$C$7,IF(N124="olej opałowy",Q124*'Założenia,wskaźniki, listy'!$C$8,IF(N124="sieć ciepłownicza",Q124*'Założenia,wskaźniki, listy'!$C$9,IF(N124="sieć ciepłownicza",Q124*'Założenia,wskaźniki, listy'!$C$10,0)))))))</f>
        <v>0</v>
      </c>
      <c r="AJ124" s="640">
        <f>S124*'Założenia,wskaźniki, listy'!$B$64*1000</f>
        <v>0</v>
      </c>
      <c r="AK124" s="640">
        <f>(H124+I124)*'Założenia,wskaźniki, listy'!$D$64*12</f>
        <v>0</v>
      </c>
      <c r="AL124" s="640">
        <f>AK124*'Założenia,wskaźniki, listy'!$F$64</f>
        <v>0</v>
      </c>
      <c r="AM124" s="639">
        <f t="shared" ref="AM124" si="213">T124+AA124</f>
        <v>1.44E-2</v>
      </c>
      <c r="AN124" s="639">
        <f t="shared" ref="AN124" si="214">U124+AB124</f>
        <v>1.41E-2</v>
      </c>
      <c r="AO124" s="639">
        <f>V124+AC124+S124*'Założenia,wskaźniki, listy'!$J$46</f>
        <v>0</v>
      </c>
      <c r="AP124" s="639">
        <f t="shared" ref="AP124" si="215">W124+AD124</f>
        <v>3.6300000000000004E-6</v>
      </c>
      <c r="AQ124" s="639">
        <f t="shared" ref="AQ124" si="216">X124+AE124</f>
        <v>3.3E-4</v>
      </c>
      <c r="AR124" s="639">
        <f t="shared" ref="AR124" si="217">Y124+AF124</f>
        <v>2.4000000000000002E-3</v>
      </c>
      <c r="AS124" s="639">
        <f t="shared" ref="AS124" si="218">Z124+AG124</f>
        <v>5.3819999999999996E-3</v>
      </c>
      <c r="AT124" s="647"/>
      <c r="AU124" s="647"/>
      <c r="AV124" s="624">
        <f t="shared" si="135"/>
        <v>0</v>
      </c>
      <c r="AW124" s="624" t="b">
        <f t="shared" si="136"/>
        <v>0</v>
      </c>
      <c r="AX124" s="624" t="b">
        <f t="shared" si="137"/>
        <v>0</v>
      </c>
      <c r="AY124" s="624" t="b">
        <f t="shared" si="138"/>
        <v>0</v>
      </c>
      <c r="AZ124" s="624" t="b">
        <f t="shared" si="139"/>
        <v>0</v>
      </c>
      <c r="BA124" s="624" t="b">
        <f t="shared" si="140"/>
        <v>0</v>
      </c>
      <c r="BB124" s="624" t="b">
        <f t="shared" si="141"/>
        <v>0</v>
      </c>
      <c r="BC124" s="624" t="b">
        <f t="shared" si="142"/>
        <v>0</v>
      </c>
      <c r="BD124" s="624" t="b">
        <f t="shared" si="143"/>
        <v>0</v>
      </c>
      <c r="BE124" s="624" t="b">
        <f t="shared" si="144"/>
        <v>0</v>
      </c>
      <c r="BF124" s="624" t="b">
        <f t="shared" si="145"/>
        <v>0</v>
      </c>
      <c r="BG124" s="624" t="b">
        <f t="shared" si="146"/>
        <v>0</v>
      </c>
      <c r="BH124" s="624">
        <f t="shared" si="147"/>
        <v>30</v>
      </c>
      <c r="BI124" s="624" t="b">
        <f t="shared" si="148"/>
        <v>0</v>
      </c>
      <c r="BJ124" s="624" t="b">
        <f t="shared" si="149"/>
        <v>0</v>
      </c>
      <c r="BK124" s="624" t="b">
        <f t="shared" si="150"/>
        <v>0</v>
      </c>
      <c r="BL124" s="624" t="b">
        <f t="shared" si="151"/>
        <v>0</v>
      </c>
      <c r="BM124" s="624" t="b">
        <f t="shared" si="152"/>
        <v>0</v>
      </c>
      <c r="BN124" s="624" t="b">
        <f t="shared" si="153"/>
        <v>0</v>
      </c>
      <c r="BO124" s="624" t="b">
        <f t="shared" si="154"/>
        <v>0</v>
      </c>
      <c r="BP124" s="624" t="b">
        <f t="shared" si="155"/>
        <v>0</v>
      </c>
      <c r="BQ124" s="624" t="b">
        <f t="shared" si="156"/>
        <v>0</v>
      </c>
    </row>
    <row r="125" spans="1:69">
      <c r="A125" s="1086">
        <v>61</v>
      </c>
      <c r="B125" s="872" t="s">
        <v>21</v>
      </c>
      <c r="C125" s="873" t="s">
        <v>634</v>
      </c>
      <c r="D125" s="645"/>
      <c r="E125" s="645" t="s">
        <v>636</v>
      </c>
      <c r="F125" s="644">
        <v>1962</v>
      </c>
      <c r="G125" s="644">
        <v>100</v>
      </c>
      <c r="H125" s="644"/>
      <c r="I125" s="635"/>
      <c r="J125" s="644">
        <f>IF(F125&lt;=1966,'Założenia,wskaźniki, listy'!$H$4,IF(F125&gt;1966,IF(F125&lt;=1985,'Założenia,wskaźniki, listy'!$H$5,IF(F125&gt;1985,IF(F125&lt;=1992,'Założenia,wskaźniki, listy'!$H$6,IF(F125&gt;1992,IF(F125&lt;=1996,'Założenia,wskaźniki, listy'!$H$7,IF(F125&gt;1996,IF(F125&lt;=2015,'Założenia,wskaźniki, listy'!$H$8)))))))))</f>
        <v>290</v>
      </c>
      <c r="K125" s="864" t="s">
        <v>31</v>
      </c>
      <c r="L125" s="644" t="s">
        <v>8</v>
      </c>
      <c r="M125" s="644">
        <v>2</v>
      </c>
      <c r="N125" s="644"/>
      <c r="O125" s="637">
        <f t="shared" si="134"/>
        <v>74.81</v>
      </c>
      <c r="P125" s="646">
        <f>IF(K125="kompletna",J125*G125*0.0036*'Założenia,wskaźniki, listy'!$P$9,IF(K125="częściowa",J125*G125*0.0036*'Założenia,wskaźniki, listy'!$P$10,IF(K125="brak",J125*G125*0.0036*'Założenia,wskaźniki, listy'!$P$11,0)))</f>
        <v>104.39999999999999</v>
      </c>
      <c r="Q125" s="638">
        <f>H125*'Założenia,wskaźniki, listy'!$L$15</f>
        <v>0</v>
      </c>
      <c r="R125" s="635">
        <f>IF(L125="węgiel",'Mieszkalne - baza'!M125*'Założenia,wskaźniki, listy'!$B$4,IF(L125="gaz",'Mieszkalne - baza'!M125*'Założenia,wskaźniki, listy'!$B$5,IF(L125="drewno",'Mieszkalne - baza'!M125*'Założenia,wskaźniki, listy'!$B$6,IF(L125="pelet",'Mieszkalne - baza'!M125*'Założenia,wskaźniki, listy'!$B$7,IF(L125="olej opałowy",'Mieszkalne - baza'!M125*'Założenia,wskaźniki, listy'!$B$8,IF(L125="sieć ciepłownicza",0,0))))))</f>
        <v>45.22</v>
      </c>
      <c r="S125" s="1084">
        <v>1.7484000000000002</v>
      </c>
      <c r="T125" s="639">
        <f>IF(L125="węgiel",R125*'Założenia,wskaźniki, listy'!$C$44,IF(L125="gaz",R125*'Założenia,wskaźniki, listy'!$D$44,IF(L125="drewno",R125*'Założenia,wskaźniki, listy'!$E$44,IF(L125="pelet",R125*'Założenia,wskaźniki, listy'!$F$44,IF(L125="olej opałowy",R125*'Założenia,wskaźniki, listy'!$G$44,IF(L125="sieć ciepłownicza",0,IF(L125="prąd",0,0)))))))</f>
        <v>1.01745E-2</v>
      </c>
      <c r="U125" s="639">
        <f>IF(L125="węgiel",R125*'Założenia,wskaźniki, listy'!$C$45,IF(L125="gaz",R125*'Założenia,wskaźniki, listy'!$D$45,IF(L125="drewno",R125*'Założenia,wskaźniki, listy'!$E$45,IF(L125="pelet",R125*'Założenia,wskaźniki, listy'!$F$45,IF(L125="olej opałowy",R125*'Założenia,wskaźniki, listy'!$G$45,IF(L125="sieć ciepłownicza",0,IF(L125="prąd",0,0)))))))</f>
        <v>9.0892200000000003E-3</v>
      </c>
      <c r="V125" s="639">
        <f>IF(L125="węgiel",R125*'Założenia,wskaźniki, listy'!$C$46,IF(L125="gaz",R125*'Założenia,wskaźniki, listy'!$D$46,IF(L125="drewno",R125*'Założenia,wskaźniki, listy'!$E$46,IF(L125="pelet",R125*'Założenia,wskaźniki, listy'!$F$46,IF(L125="olej opałowy",R125*'Założenia,wskaźniki, listy'!$G$46,IF(L125="sieć ciepłownicza",R125*'Założenia,wskaźniki, listy'!$H$46,IF(L125="prąd",R125*'Założenia,wskaźniki, listy'!$I$46,0)))))))</f>
        <v>4.2389227999999992</v>
      </c>
      <c r="W125" s="639">
        <f>IF(L125="węgiel",R125*'Założenia,wskaźniki, listy'!$C$47,IF(L125="gaz",R125*'Założenia,wskaźniki, listy'!$D$47,IF(L125="drewno",R125*'Założenia,wskaźniki, listy'!$E$47,IF(L125="pelet",R125*'Założenia,wskaźniki, listy'!$F$47,IF(L125="olej opałowy",R125*'Założenia,wskaźniki, listy'!$G$47,IF(L125="sieć ciepłownicza",0,IF(L125="prąd",0,0)))))))</f>
        <v>1.22094E-5</v>
      </c>
      <c r="X125" s="639">
        <f>IF(L125="węgiel",R125*'Założenia,wskaźniki, listy'!$C$48, IF(L125="gaz",R125*'Założenia,wskaźniki, listy'!$D$48,IF(L125="drewno",R125*'Założenia,wskaźniki, listy'!$E$48,IF(L125="pelet",R125*'Założenia,wskaźniki, listy'!$F$48,IF(L125="olej opałowy",R125*'Założenia,wskaźniki, listy'!$G$48,IF(L125="sieć ciepłownicza",0,IF(L125="prąd",0,0)))))))</f>
        <v>4.0697999999999998E-2</v>
      </c>
      <c r="Y125" s="639">
        <f>IF(L125="węgiel",R125*'Założenia,wskaźniki, listy'!$C$49, IF(L125="gaz",R125*'Założenia,wskaźniki, listy'!$D$49, IF(L125="drewno",R125*'Założenia,wskaźniki, listy'!$E$49,IF(L125="pelet",R125*'Założenia,wskaźniki, listy'!$F$49,IF(L125="olej opałowy",R125*'Założenia,wskaźniki, listy'!$G$49,IF(L125="sieć ciepłownicza",0,IF(L125="prąd",0,0)))))))</f>
        <v>7.1447599999999991E-3</v>
      </c>
      <c r="Z125" s="639">
        <f>IF(L125="węgiel",R125*'Założenia,wskaźniki, listy'!$C$50,IF(L125="gaz",R125*'Założenia,wskaźniki, listy'!$D$50, IF(L125="drewno",R125*'Założenia,wskaźniki, listy'!$E$50,IF(L125="pelet",R125*'Założenia,wskaźniki, listy'!$F$50,IF(L125="pelet",R125*'Założenia,wskaźniki, listy'!$F$50,IF(L125="olej opałowy",R125*'Założenia,wskaźniki, listy'!$G$50,IF(L125="sieć ciepłownicza",0,IF(L125="prąd",0,0))))))))</f>
        <v>9.0965578900312913E-2</v>
      </c>
      <c r="AA125" s="639">
        <f>IF(N125="węgiel",Q125*'Założenia,wskaźniki, listy'!$C$44,IF(N125="gaz",Q125*'Założenia,wskaźniki, listy'!$D$44,IF(N125="drewno",Q125*'Założenia,wskaźniki, listy'!$E$44,IF(N125="pelet",Q125*'Założenia,wskaźniki, listy'!$G$44,IF(N125="olej opałowy",Q125*'Założenia,wskaźniki, listy'!$G$44,IF(N125="sieć ciepłownicza",0,IF(N125="prąd",0,0)))))))</f>
        <v>0</v>
      </c>
      <c r="AB125" s="639">
        <f>IF(N125="węgiel",Q125*'Założenia,wskaźniki, listy'!$C$45,IF(N125="gaz",Q125*'Założenia,wskaźniki, listy'!$D$45,IF(N125="drewno",Q125*'Założenia,wskaźniki, listy'!$E$45,IF(N125="pelet",Q125*'Założenia,wskaźniki, listy'!$G$45,IF(N125="olej opałowy",Q125*'Założenia,wskaźniki, listy'!$G$45,IF(N125="sieć ciepłownicza",0,IF(N125="prąd",0,0)))))))</f>
        <v>0</v>
      </c>
      <c r="AC125" s="639">
        <f>IF(N125="węgiel",Q125*'Założenia,wskaźniki, listy'!$C$46,IF(N125="gaz",Q125*'Założenia,wskaźniki, listy'!$D$46,IF(N125="drewno",Q125*'Założenia,wskaźniki, listy'!$E$46,IF(N125="pelet",Q125*'Założenia,wskaźniki, listy'!$G$46,IF(N125="olej opałowy",Q125*'Założenia,wskaźniki, listy'!$G$46,IF(N125="sieć ciepłownicza",0,IF(N125="prąd",0,0)))))))</f>
        <v>0</v>
      </c>
      <c r="AD125" s="639">
        <f>IF(N125="węgiel",Q125*'Założenia,wskaźniki, listy'!$C$47,IF(N125="gaz",Q125*'Założenia,wskaźniki, listy'!$D$47,IF(N125="drewno",Q125*'Założenia,wskaźniki, listy'!$E$47,IF(N125="pelet",Q125*'Założenia,wskaźniki, listy'!$G$47,IF(N125="olej opałowy",Q125*'Założenia,wskaźniki, listy'!$G$47,IF(N125="sieć ciepłownicza",0,IF(N125="prąd",0,0)))))))</f>
        <v>0</v>
      </c>
      <c r="AE125" s="639">
        <f>IF(N125="węgiel",Q125*'Założenia,wskaźniki, listy'!$C$48,IF(N125="gaz",Q125*'Założenia,wskaźniki, listy'!$D$48,IF(N125="drewno",Q125*'Założenia,wskaźniki, listy'!$E$48,IF(N125="pelet",Q125*'Założenia,wskaźniki, listy'!$G$48,IF(N125="olej opałowy",Q125*'Założenia,wskaźniki, listy'!$G$48,IF(N125="sieć ciepłownicza",0,IF(N125="prąd",0,0)))))))</f>
        <v>0</v>
      </c>
      <c r="AF125" s="639">
        <f>IF(N125="węgiel",Q125*'Założenia,wskaźniki, listy'!$C$49,IF(N125="gaz",Q125*'Założenia,wskaźniki, listy'!$D$49,IF(N125="drewno",Q125*'Założenia,wskaźniki, listy'!$E$49,IF(N125="pelet",Q125*'Założenia,wskaźniki, listy'!$G$49,IF(N125="olej opałowy",Q125*'Założenia,wskaźniki, listy'!$G$49,IF(N125="sieć ciepłownicza",0,IF(N125="prąd",0,0)))))))</f>
        <v>0</v>
      </c>
      <c r="AG125" s="639">
        <f>IF(N125="węgiel",Q125*'Założenia,wskaźniki, listy'!$C$50,IF(N125="gaz",Q125*'Założenia,wskaźniki, listy'!$D$50,IF(N125="drewno",Q125*'Założenia,wskaźniki, listy'!$E$50,IF(N125="pelet",Q125*'Założenia,wskaźniki, listy'!$G$50,IF(N125="olej opałowy",Q125*'Założenia,wskaźniki, listy'!$G$50,IF(N125="sieć ciepłownicza",0,IF(N125="prąd",0,0)))))))</f>
        <v>0</v>
      </c>
      <c r="AH125" s="640">
        <f>IF(L125="węgiel",(P125+R125)/2*'Założenia,wskaźniki, listy'!$C$4,IF(L125="gaz",(P125+R125)/2*'Założenia,wskaźniki, listy'!$C$5,IF(L125="drewno",(P125+R125)/2*'Założenia,wskaźniki, listy'!$C$6,IF(L125="pelet",(P125+R125)/2*'Założenia,wskaźniki, listy'!$C$7,IF(L125="olej opałowy",(P125+R125)/2*'Założenia,wskaźniki, listy'!$C$8,IF(L125="sieć ciepłownicza",(P125+R125)/2*'Założenia,wskaźniki, listy'!$C$9,IF(L125="sieć ciepłownicza",(P125+R125)/2*'Założenia,wskaźniki, listy'!$C$10,)))))))</f>
        <v>3067.21</v>
      </c>
      <c r="AI125" s="640">
        <f>IF(N125="węgiel",Q125*'Założenia,wskaźniki, listy'!$C$4,IF(N125="gaz",Q125*'Założenia,wskaźniki, listy'!$C$5,IF(N125="drewno",Q125*'Założenia,wskaźniki, listy'!$C$6,IF(N125="pelet",Q125*'Założenia,wskaźniki, listy'!$C$7,IF(N125="olej opałowy",Q125*'Założenia,wskaźniki, listy'!$C$8,IF(N125="sieć ciepłownicza",Q125*'Założenia,wskaźniki, listy'!$C$9,IF(N125="sieć ciepłownicza",Q125*'Założenia,wskaźniki, listy'!$C$10,0)))))))</f>
        <v>0</v>
      </c>
      <c r="AJ125" s="640">
        <f>S125*'Założenia,wskaźniki, listy'!$B$64*1000</f>
        <v>1241.364</v>
      </c>
      <c r="AK125" s="640">
        <f>(H125+I125)*'Założenia,wskaźniki, listy'!$D$64*12</f>
        <v>0</v>
      </c>
      <c r="AL125" s="640">
        <f>AK125*'Założenia,wskaźniki, listy'!$F$64</f>
        <v>0</v>
      </c>
      <c r="AM125" s="639">
        <f t="shared" si="206"/>
        <v>1.01745E-2</v>
      </c>
      <c r="AN125" s="639">
        <f t="shared" si="207"/>
        <v>9.0892200000000003E-3</v>
      </c>
      <c r="AO125" s="639">
        <f>V125+AC125+S125*'Założenia,wskaźniki, listy'!$J$46</f>
        <v>5.6927173999999994</v>
      </c>
      <c r="AP125" s="639">
        <f t="shared" si="208"/>
        <v>1.22094E-5</v>
      </c>
      <c r="AQ125" s="639">
        <f t="shared" si="209"/>
        <v>4.0697999999999998E-2</v>
      </c>
      <c r="AR125" s="639">
        <f t="shared" si="210"/>
        <v>7.1447599999999991E-3</v>
      </c>
      <c r="AS125" s="639">
        <f t="shared" si="211"/>
        <v>9.0965578900312913E-2</v>
      </c>
      <c r="AT125" s="647"/>
      <c r="AU125" s="647"/>
      <c r="AV125" s="624">
        <f t="shared" si="135"/>
        <v>100</v>
      </c>
      <c r="AW125" s="624" t="b">
        <f t="shared" si="136"/>
        <v>0</v>
      </c>
      <c r="AX125" s="624" t="b">
        <f t="shared" si="137"/>
        <v>0</v>
      </c>
      <c r="AY125" s="624" t="b">
        <f t="shared" si="138"/>
        <v>0</v>
      </c>
      <c r="AZ125" s="624" t="b">
        <f t="shared" si="139"/>
        <v>0</v>
      </c>
      <c r="BA125" s="624" t="b">
        <f t="shared" si="140"/>
        <v>0</v>
      </c>
      <c r="BB125" s="624" t="b">
        <f t="shared" si="141"/>
        <v>0</v>
      </c>
      <c r="BC125" s="624" t="b">
        <f t="shared" si="142"/>
        <v>0</v>
      </c>
      <c r="BD125" s="624" t="b">
        <f t="shared" si="143"/>
        <v>0</v>
      </c>
      <c r="BE125" s="624" t="b">
        <f t="shared" si="144"/>
        <v>0</v>
      </c>
      <c r="BF125" s="624">
        <f t="shared" si="145"/>
        <v>45.22</v>
      </c>
      <c r="BG125" s="624" t="b">
        <f t="shared" si="146"/>
        <v>0</v>
      </c>
      <c r="BH125" s="624" t="b">
        <f t="shared" si="147"/>
        <v>0</v>
      </c>
      <c r="BI125" s="624" t="b">
        <f t="shared" si="148"/>
        <v>0</v>
      </c>
      <c r="BJ125" s="624" t="b">
        <f t="shared" si="149"/>
        <v>0</v>
      </c>
      <c r="BK125" s="624" t="b">
        <f t="shared" si="150"/>
        <v>0</v>
      </c>
      <c r="BL125" s="624" t="b">
        <f t="shared" si="151"/>
        <v>0</v>
      </c>
      <c r="BM125" s="624" t="b">
        <f t="shared" si="152"/>
        <v>0</v>
      </c>
      <c r="BN125" s="624" t="b">
        <f t="shared" si="153"/>
        <v>0</v>
      </c>
      <c r="BO125" s="624" t="b">
        <f t="shared" si="154"/>
        <v>0</v>
      </c>
      <c r="BP125" s="624" t="b">
        <f t="shared" si="155"/>
        <v>0</v>
      </c>
      <c r="BQ125" s="624" t="b">
        <f t="shared" si="156"/>
        <v>0</v>
      </c>
    </row>
    <row r="126" spans="1:69" ht="8.25" customHeight="1">
      <c r="A126" s="1086"/>
      <c r="B126" s="872"/>
      <c r="C126" s="872"/>
      <c r="D126" s="645"/>
      <c r="E126" s="645"/>
      <c r="F126" s="644"/>
      <c r="G126" s="644"/>
      <c r="H126" s="644"/>
      <c r="I126" s="635"/>
      <c r="J126" s="644">
        <f>IF(F126&lt;=1966,'Założenia,wskaźniki, listy'!$H$4,IF(F126&gt;1966,IF(F126&lt;=1985,'Założenia,wskaźniki, listy'!$H$5,IF(F126&gt;1985,IF(F126&lt;=1992,'Założenia,wskaźniki, listy'!$H$6,IF(F126&gt;1992,IF(F126&lt;=1996,'Założenia,wskaźniki, listy'!$H$7,IF(F126&gt;1996,IF(F126&lt;=2015,'Założenia,wskaźniki, listy'!$H$8)))))))))</f>
        <v>290</v>
      </c>
      <c r="K126" s="872"/>
      <c r="L126" s="644" t="s">
        <v>79</v>
      </c>
      <c r="M126" s="644">
        <v>2</v>
      </c>
      <c r="N126" s="644"/>
      <c r="O126" s="637">
        <f t="shared" ref="O126" si="219">IF(P126&gt;0,(Q126+R126+P126)/2,Q126+R126)</f>
        <v>30</v>
      </c>
      <c r="P126" s="646">
        <f>IF(K126="kompletna",J126*G126*0.0036*'Założenia,wskaźniki, listy'!$P$9,IF(K126="częściowa",J126*G126*0.0036*'Założenia,wskaźniki, listy'!$P$10,IF(K126="brak",J126*G126*0.0036*'Założenia,wskaźniki, listy'!$P$11,0)))</f>
        <v>0</v>
      </c>
      <c r="Q126" s="638">
        <f>H126*'Założenia,wskaźniki, listy'!$L$15</f>
        <v>0</v>
      </c>
      <c r="R126" s="635">
        <f>IF(L126="węgiel",'Mieszkalne - baza'!M126*'Założenia,wskaźniki, listy'!$B$4,IF(L126="gaz",'Mieszkalne - baza'!M126*'Założenia,wskaźniki, listy'!$B$5,IF(L126="drewno",'Mieszkalne - baza'!M126*'Założenia,wskaźniki, listy'!$B$6,IF(L126="pelet",'Mieszkalne - baza'!M126*'Założenia,wskaźniki, listy'!$B$7,IF(L126="olej opałowy",'Mieszkalne - baza'!M126*'Założenia,wskaźniki, listy'!$B$8,IF(L126="sieć ciepłownicza",0,0))))))</f>
        <v>30</v>
      </c>
      <c r="S126" s="1085"/>
      <c r="T126" s="639">
        <f>IF(L126="węgiel",R126*'Założenia,wskaźniki, listy'!$C$44,IF(L126="gaz",R126*'Założenia,wskaźniki, listy'!$D$44,IF(L126="drewno",R126*'Założenia,wskaźniki, listy'!$E$44,IF(L126="pelet",R126*'Założenia,wskaźniki, listy'!$F$44,IF(L126="olej opałowy",R126*'Założenia,wskaźniki, listy'!$G$44,IF(L126="sieć ciepłownicza",0,IF(L126="prąd",0,0)))))))</f>
        <v>1.44E-2</v>
      </c>
      <c r="U126" s="639">
        <f>IF(L126="węgiel",R126*'Założenia,wskaźniki, listy'!$C$45,IF(L126="gaz",R126*'Założenia,wskaźniki, listy'!$D$45,IF(L126="drewno",R126*'Założenia,wskaźniki, listy'!$E$45,IF(L126="pelet",R126*'Założenia,wskaźniki, listy'!$F$45,IF(L126="olej opałowy",R126*'Założenia,wskaźniki, listy'!$G$45,IF(L126="sieć ciepłownicza",0,IF(L126="prąd",0,0)))))))</f>
        <v>1.41E-2</v>
      </c>
      <c r="V126" s="639">
        <f>IF(L126="węgiel",R126*'Założenia,wskaźniki, listy'!$C$46,IF(L126="gaz",R126*'Założenia,wskaźniki, listy'!$D$46,IF(L126="drewno",R126*'Założenia,wskaźniki, listy'!$E$46,IF(L126="pelet",R126*'Założenia,wskaźniki, listy'!$F$46,IF(L126="olej opałowy",R126*'Założenia,wskaźniki, listy'!$G$46,IF(L126="sieć ciepłownicza",R126*'Założenia,wskaźniki, listy'!$H$46,IF(L126="prąd",R126*'Założenia,wskaźniki, listy'!$I$46,0)))))))</f>
        <v>0</v>
      </c>
      <c r="W126" s="639">
        <f>IF(L126="węgiel",R126*'Założenia,wskaźniki, listy'!$C$47,IF(L126="gaz",R126*'Założenia,wskaźniki, listy'!$D$47,IF(L126="drewno",R126*'Założenia,wskaźniki, listy'!$E$47,IF(L126="pelet",R126*'Założenia,wskaźniki, listy'!$F$47,IF(L126="olej opałowy",R126*'Założenia,wskaźniki, listy'!$G$47,IF(L126="sieć ciepłownicza",0,IF(L126="prąd",0,0)))))))</f>
        <v>3.6300000000000004E-6</v>
      </c>
      <c r="X126" s="639">
        <f>IF(L126="węgiel",R126*'Założenia,wskaźniki, listy'!$C$48, IF(L126="gaz",R126*'Założenia,wskaźniki, listy'!$D$48,IF(L126="drewno",R126*'Założenia,wskaźniki, listy'!$E$48,IF(L126="pelet",R126*'Założenia,wskaźniki, listy'!$F$48,IF(L126="olej opałowy",R126*'Założenia,wskaźniki, listy'!$G$48,IF(L126="sieć ciepłownicza",0,IF(L126="prąd",0,0)))))))</f>
        <v>3.3E-4</v>
      </c>
      <c r="Y126" s="639">
        <f>IF(L126="węgiel",R126*'Założenia,wskaźniki, listy'!$C$49, IF(L126="gaz",R126*'Założenia,wskaźniki, listy'!$D$49, IF(L126="drewno",R126*'Założenia,wskaźniki, listy'!$E$49,IF(L126="pelet",R126*'Założenia,wskaźniki, listy'!$F$49,IF(L126="olej opałowy",R126*'Założenia,wskaźniki, listy'!$G$49,IF(L126="sieć ciepłownicza",0,IF(L126="prąd",0,0)))))))</f>
        <v>2.4000000000000002E-3</v>
      </c>
      <c r="Z126" s="639">
        <f>IF(L126="węgiel",R126*'Założenia,wskaźniki, listy'!$C$50,IF(L126="gaz",R126*'Założenia,wskaźniki, listy'!$D$50, IF(L126="drewno",R126*'Założenia,wskaźniki, listy'!$E$50,IF(L126="pelet",R126*'Założenia,wskaźniki, listy'!$F$50,IF(L126="pelet",R126*'Założenia,wskaźniki, listy'!$F$50,IF(L126="olej opałowy",R126*'Założenia,wskaźniki, listy'!$G$50,IF(L126="sieć ciepłownicza",0,IF(L126="prąd",0,0))))))))</f>
        <v>5.3819999999999996E-3</v>
      </c>
      <c r="AA126" s="639">
        <f>IF(N126="węgiel",Q126*'Założenia,wskaźniki, listy'!$C$44,IF(N126="gaz",Q126*'Założenia,wskaźniki, listy'!$D$44,IF(N126="drewno",Q126*'Założenia,wskaźniki, listy'!$E$44,IF(N126="pelet",Q126*'Założenia,wskaźniki, listy'!$G$44,IF(N126="olej opałowy",Q126*'Założenia,wskaźniki, listy'!$G$44,IF(N126="sieć ciepłownicza",0,IF(N126="prąd",0,0)))))))</f>
        <v>0</v>
      </c>
      <c r="AB126" s="639">
        <f>IF(N126="węgiel",Q126*'Założenia,wskaźniki, listy'!$C$45,IF(N126="gaz",Q126*'Założenia,wskaźniki, listy'!$D$45,IF(N126="drewno",Q126*'Założenia,wskaźniki, listy'!$E$45,IF(N126="pelet",Q126*'Założenia,wskaźniki, listy'!$G$45,IF(N126="olej opałowy",Q126*'Założenia,wskaźniki, listy'!$G$45,IF(N126="sieć ciepłownicza",0,IF(N126="prąd",0,0)))))))</f>
        <v>0</v>
      </c>
      <c r="AC126" s="639">
        <f>IF(N126="węgiel",Q126*'Założenia,wskaźniki, listy'!$C$46,IF(N126="gaz",Q126*'Założenia,wskaźniki, listy'!$D$46,IF(N126="drewno",Q126*'Założenia,wskaźniki, listy'!$E$46,IF(N126="pelet",Q126*'Założenia,wskaźniki, listy'!$G$46,IF(N126="olej opałowy",Q126*'Założenia,wskaźniki, listy'!$G$46,IF(N126="sieć ciepłownicza",0,IF(N126="prąd",0,0)))))))</f>
        <v>0</v>
      </c>
      <c r="AD126" s="639">
        <f>IF(N126="węgiel",Q126*'Założenia,wskaźniki, listy'!$C$47,IF(N126="gaz",Q126*'Założenia,wskaźniki, listy'!$D$47,IF(N126="drewno",Q126*'Założenia,wskaźniki, listy'!$E$47,IF(N126="pelet",Q126*'Założenia,wskaźniki, listy'!$G$47,IF(N126="olej opałowy",Q126*'Założenia,wskaźniki, listy'!$G$47,IF(N126="sieć ciepłownicza",0,IF(N126="prąd",0,0)))))))</f>
        <v>0</v>
      </c>
      <c r="AE126" s="639">
        <f>IF(N126="węgiel",Q126*'Założenia,wskaźniki, listy'!$C$48,IF(N126="gaz",Q126*'Założenia,wskaźniki, listy'!$D$48,IF(N126="drewno",Q126*'Założenia,wskaźniki, listy'!$E$48,IF(N126="pelet",Q126*'Założenia,wskaźniki, listy'!$G$48,IF(N126="olej opałowy",Q126*'Założenia,wskaźniki, listy'!$G$48,IF(N126="sieć ciepłownicza",0,IF(N126="prąd",0,0)))))))</f>
        <v>0</v>
      </c>
      <c r="AF126" s="639">
        <f>IF(N126="węgiel",Q126*'Założenia,wskaźniki, listy'!$C$49,IF(N126="gaz",Q126*'Założenia,wskaźniki, listy'!$D$49,IF(N126="drewno",Q126*'Założenia,wskaźniki, listy'!$E$49,IF(N126="pelet",Q126*'Założenia,wskaźniki, listy'!$G$49,IF(N126="olej opałowy",Q126*'Założenia,wskaźniki, listy'!$G$49,IF(N126="sieć ciepłownicza",0,IF(N126="prąd",0,0)))))))</f>
        <v>0</v>
      </c>
      <c r="AG126" s="639">
        <f>IF(N126="węgiel",Q126*'Założenia,wskaźniki, listy'!$C$50,IF(N126="gaz",Q126*'Założenia,wskaźniki, listy'!$D$50,IF(N126="drewno",Q126*'Założenia,wskaźniki, listy'!$E$50,IF(N126="pelet",Q126*'Założenia,wskaźniki, listy'!$G$50,IF(N126="olej opałowy",Q126*'Założenia,wskaźniki, listy'!$G$50,IF(N126="sieć ciepłownicza",0,IF(N126="prąd",0,0)))))))</f>
        <v>0</v>
      </c>
      <c r="AH126" s="640">
        <f>IF(L126="węgiel",(P126+R126)/2*'Założenia,wskaźniki, listy'!$C$4,IF(L126="gaz",(P126+R126)/2*'Założenia,wskaźniki, listy'!$C$5,IF(L126="drewno",(P126+R126)/2*'Założenia,wskaźniki, listy'!$C$6,IF(L126="pelet",(P126+R126)/2*'Założenia,wskaźniki, listy'!$C$7,IF(L126="olej opałowy",(P126+R126)/2*'Założenia,wskaźniki, listy'!$C$8,IF(L126="sieć ciepłownicza",(P126+R126)/2*'Założenia,wskaźniki, listy'!$C$9,IF(L126="sieć ciepłownicza",(P126+R126)/2*'Założenia,wskaźniki, listy'!$C$10,)))))))</f>
        <v>570</v>
      </c>
      <c r="AI126" s="640">
        <f>IF(N126="węgiel",Q126*'Założenia,wskaźniki, listy'!$C$4,IF(N126="gaz",Q126*'Założenia,wskaźniki, listy'!$C$5,IF(N126="drewno",Q126*'Założenia,wskaźniki, listy'!$C$6,IF(N126="pelet",Q126*'Założenia,wskaźniki, listy'!$C$7,IF(N126="olej opałowy",Q126*'Założenia,wskaźniki, listy'!$C$8,IF(N126="sieć ciepłownicza",Q126*'Założenia,wskaźniki, listy'!$C$9,IF(N126="sieć ciepłownicza",Q126*'Założenia,wskaźniki, listy'!$C$10,0)))))))</f>
        <v>0</v>
      </c>
      <c r="AJ126" s="640">
        <f>S126*'Założenia,wskaźniki, listy'!$B$64*1000</f>
        <v>0</v>
      </c>
      <c r="AK126" s="640">
        <f>(H126+I126)*'Założenia,wskaźniki, listy'!$D$64*12</f>
        <v>0</v>
      </c>
      <c r="AL126" s="640">
        <f>AK126*'Założenia,wskaźniki, listy'!$F$64</f>
        <v>0</v>
      </c>
      <c r="AM126" s="639">
        <f t="shared" ref="AM126" si="220">T126+AA126</f>
        <v>1.44E-2</v>
      </c>
      <c r="AN126" s="639">
        <f t="shared" ref="AN126" si="221">U126+AB126</f>
        <v>1.41E-2</v>
      </c>
      <c r="AO126" s="639">
        <f>V126+AC126+S126*'Założenia,wskaźniki, listy'!$J$46</f>
        <v>0</v>
      </c>
      <c r="AP126" s="639">
        <f t="shared" ref="AP126" si="222">W126+AD126</f>
        <v>3.6300000000000004E-6</v>
      </c>
      <c r="AQ126" s="639">
        <f t="shared" ref="AQ126" si="223">X126+AE126</f>
        <v>3.3E-4</v>
      </c>
      <c r="AR126" s="639">
        <f t="shared" ref="AR126" si="224">Y126+AF126</f>
        <v>2.4000000000000002E-3</v>
      </c>
      <c r="AS126" s="639">
        <f t="shared" ref="AS126" si="225">Z126+AG126</f>
        <v>5.3819999999999996E-3</v>
      </c>
      <c r="AT126" s="647"/>
      <c r="AU126" s="647"/>
      <c r="AV126" s="624">
        <f t="shared" si="135"/>
        <v>0</v>
      </c>
      <c r="AW126" s="624" t="b">
        <f t="shared" si="136"/>
        <v>0</v>
      </c>
      <c r="AX126" s="624" t="b">
        <f t="shared" si="137"/>
        <v>0</v>
      </c>
      <c r="AY126" s="624" t="b">
        <f t="shared" si="138"/>
        <v>0</v>
      </c>
      <c r="AZ126" s="624" t="b">
        <f t="shared" si="139"/>
        <v>0</v>
      </c>
      <c r="BA126" s="624" t="b">
        <f t="shared" si="140"/>
        <v>0</v>
      </c>
      <c r="BB126" s="624" t="b">
        <f t="shared" si="141"/>
        <v>0</v>
      </c>
      <c r="BC126" s="624" t="b">
        <f t="shared" si="142"/>
        <v>0</v>
      </c>
      <c r="BD126" s="624" t="b">
        <f t="shared" si="143"/>
        <v>0</v>
      </c>
      <c r="BE126" s="624" t="b">
        <f t="shared" si="144"/>
        <v>0</v>
      </c>
      <c r="BF126" s="624" t="b">
        <f t="shared" si="145"/>
        <v>0</v>
      </c>
      <c r="BG126" s="624" t="b">
        <f t="shared" si="146"/>
        <v>0</v>
      </c>
      <c r="BH126" s="624">
        <f t="shared" si="147"/>
        <v>30</v>
      </c>
      <c r="BI126" s="624" t="b">
        <f t="shared" si="148"/>
        <v>0</v>
      </c>
      <c r="BJ126" s="624" t="b">
        <f t="shared" si="149"/>
        <v>0</v>
      </c>
      <c r="BK126" s="624" t="b">
        <f t="shared" si="150"/>
        <v>0</v>
      </c>
      <c r="BL126" s="624" t="b">
        <f t="shared" si="151"/>
        <v>0</v>
      </c>
      <c r="BM126" s="624" t="b">
        <f t="shared" si="152"/>
        <v>0</v>
      </c>
      <c r="BN126" s="624" t="b">
        <f t="shared" si="153"/>
        <v>0</v>
      </c>
      <c r="BO126" s="624" t="b">
        <f t="shared" si="154"/>
        <v>0</v>
      </c>
      <c r="BP126" s="624" t="b">
        <f t="shared" si="155"/>
        <v>0</v>
      </c>
      <c r="BQ126" s="624" t="b">
        <f t="shared" si="156"/>
        <v>0</v>
      </c>
    </row>
    <row r="127" spans="1:69">
      <c r="A127" s="1086">
        <v>62</v>
      </c>
      <c r="B127" s="872" t="s">
        <v>21</v>
      </c>
      <c r="C127" s="873" t="s">
        <v>634</v>
      </c>
      <c r="D127" s="645"/>
      <c r="E127" s="645" t="s">
        <v>636</v>
      </c>
      <c r="F127" s="644">
        <v>1996</v>
      </c>
      <c r="G127" s="635">
        <v>230</v>
      </c>
      <c r="H127" s="644"/>
      <c r="I127" s="635"/>
      <c r="J127" s="644">
        <f>IF(F127&lt;=1966,'Założenia,wskaźniki, listy'!$H$4,IF(F127&gt;1966,IF(F127&lt;=1985,'Założenia,wskaźniki, listy'!$H$5,IF(F127&gt;1985,IF(F127&lt;=1992,'Założenia,wskaźniki, listy'!$H$6,IF(F127&gt;1992,IF(F127&lt;=1996,'Założenia,wskaźniki, listy'!$H$7,IF(F127&gt;1996,IF(F127&lt;=2015,'Założenia,wskaźniki, listy'!$H$8)))))))))</f>
        <v>130</v>
      </c>
      <c r="K127" s="864" t="s">
        <v>33</v>
      </c>
      <c r="L127" s="644" t="s">
        <v>8</v>
      </c>
      <c r="M127" s="644">
        <v>3.5</v>
      </c>
      <c r="N127" s="644"/>
      <c r="O127" s="637">
        <f t="shared" si="134"/>
        <v>82.623500000000007</v>
      </c>
      <c r="P127" s="646">
        <f>IF(K127="kompletna",J127*G127*0.0036*'Założenia,wskaźniki, listy'!$P$9,IF(K127="częściowa",J127*G127*0.0036*'Założenia,wskaźniki, listy'!$P$10,IF(K127="brak",J127*G127*0.0036*'Założenia,wskaźniki, listy'!$P$11,0)))</f>
        <v>86.112000000000009</v>
      </c>
      <c r="Q127" s="638">
        <f>H127*'Założenia,wskaźniki, listy'!$L$15</f>
        <v>0</v>
      </c>
      <c r="R127" s="635">
        <f>IF(L127="węgiel",'Mieszkalne - baza'!M127*'Założenia,wskaźniki, listy'!$B$4,IF(L127="gaz",'Mieszkalne - baza'!M127*'Założenia,wskaźniki, listy'!$B$5,IF(L127="drewno",'Mieszkalne - baza'!M127*'Założenia,wskaźniki, listy'!$B$6,IF(L127="pelet",'Mieszkalne - baza'!M127*'Założenia,wskaźniki, listy'!$B$7,IF(L127="olej opałowy",'Mieszkalne - baza'!M127*'Założenia,wskaźniki, listy'!$B$8,IF(L127="sieć ciepłownicza",0,0))))))</f>
        <v>79.134999999999991</v>
      </c>
      <c r="S127" s="1084">
        <v>1.974</v>
      </c>
      <c r="T127" s="639">
        <f>IF(L127="węgiel",R127*'Założenia,wskaźniki, listy'!$C$44,IF(L127="gaz",R127*'Założenia,wskaźniki, listy'!$D$44,IF(L127="drewno",R127*'Założenia,wskaźniki, listy'!$E$44,IF(L127="pelet",R127*'Założenia,wskaźniki, listy'!$F$44,IF(L127="olej opałowy",R127*'Założenia,wskaźniki, listy'!$G$44,IF(L127="sieć ciepłownicza",0,IF(L127="prąd",0,0)))))))</f>
        <v>1.7805374999999998E-2</v>
      </c>
      <c r="U127" s="639">
        <f>IF(L127="węgiel",R127*'Założenia,wskaźniki, listy'!$C$45,IF(L127="gaz",R127*'Założenia,wskaźniki, listy'!$D$45,IF(L127="drewno",R127*'Założenia,wskaźniki, listy'!$E$45,IF(L127="pelet",R127*'Założenia,wskaźniki, listy'!$F$45,IF(L127="olej opałowy",R127*'Założenia,wskaźniki, listy'!$G$45,IF(L127="sieć ciepłownicza",0,IF(L127="prąd",0,0)))))))</f>
        <v>1.5906134999999998E-2</v>
      </c>
      <c r="V127" s="639">
        <f>IF(L127="węgiel",R127*'Założenia,wskaźniki, listy'!$C$46,IF(L127="gaz",R127*'Założenia,wskaźniki, listy'!$D$46,IF(L127="drewno",R127*'Założenia,wskaźniki, listy'!$E$46,IF(L127="pelet",R127*'Założenia,wskaźniki, listy'!$F$46,IF(L127="olej opałowy",R127*'Założenia,wskaźniki, listy'!$G$46,IF(L127="sieć ciepłownicza",R127*'Założenia,wskaźniki, listy'!$H$46,IF(L127="prąd",R127*'Założenia,wskaźniki, listy'!$I$46,0)))))))</f>
        <v>7.4181148999999982</v>
      </c>
      <c r="W127" s="639">
        <f>IF(L127="węgiel",R127*'Założenia,wskaźniki, listy'!$C$47,IF(L127="gaz",R127*'Założenia,wskaźniki, listy'!$D$47,IF(L127="drewno",R127*'Założenia,wskaźniki, listy'!$E$47,IF(L127="pelet",R127*'Założenia,wskaźniki, listy'!$F$47,IF(L127="olej opałowy",R127*'Założenia,wskaźniki, listy'!$G$47,IF(L127="sieć ciepłownicza",0,IF(L127="prąd",0,0)))))))</f>
        <v>2.1366449999999999E-5</v>
      </c>
      <c r="X127" s="639">
        <f>IF(L127="węgiel",R127*'Założenia,wskaźniki, listy'!$C$48, IF(L127="gaz",R127*'Założenia,wskaźniki, listy'!$D$48,IF(L127="drewno",R127*'Założenia,wskaźniki, listy'!$E$48,IF(L127="pelet",R127*'Założenia,wskaźniki, listy'!$F$48,IF(L127="olej opałowy",R127*'Założenia,wskaźniki, listy'!$G$48,IF(L127="sieć ciepłownicza",0,IF(L127="prąd",0,0)))))))</f>
        <v>7.1221499999999993E-2</v>
      </c>
      <c r="Y127" s="639">
        <f>IF(L127="węgiel",R127*'Założenia,wskaźniki, listy'!$C$49, IF(L127="gaz",R127*'Założenia,wskaźniki, listy'!$D$49, IF(L127="drewno",R127*'Założenia,wskaźniki, listy'!$E$49,IF(L127="pelet",R127*'Założenia,wskaźniki, listy'!$F$49,IF(L127="olej opałowy",R127*'Założenia,wskaźniki, listy'!$G$49,IF(L127="sieć ciepłownicza",0,IF(L127="prąd",0,0)))))))</f>
        <v>1.2503329999999998E-2</v>
      </c>
      <c r="Z127" s="639">
        <f>IF(L127="węgiel",R127*'Założenia,wskaźniki, listy'!$C$50,IF(L127="gaz",R127*'Założenia,wskaźniki, listy'!$D$50, IF(L127="drewno",R127*'Założenia,wskaźniki, listy'!$E$50,IF(L127="pelet",R127*'Założenia,wskaźniki, listy'!$F$50,IF(L127="pelet",R127*'Założenia,wskaźniki, listy'!$F$50,IF(L127="olej opałowy",R127*'Założenia,wskaźniki, listy'!$G$50,IF(L127="sieć ciepłownicza",0,IF(L127="prąd",0,0))))))))</f>
        <v>0.15918976307554758</v>
      </c>
      <c r="AA127" s="639">
        <f>IF(N127="węgiel",Q127*'Założenia,wskaźniki, listy'!$C$44,IF(N127="gaz",Q127*'Założenia,wskaźniki, listy'!$D$44,IF(N127="drewno",Q127*'Założenia,wskaźniki, listy'!$E$44,IF(N127="pelet",Q127*'Założenia,wskaźniki, listy'!$G$44,IF(N127="olej opałowy",Q127*'Założenia,wskaźniki, listy'!$G$44,IF(N127="sieć ciepłownicza",0,IF(N127="prąd",0,0)))))))</f>
        <v>0</v>
      </c>
      <c r="AB127" s="639">
        <f>IF(N127="węgiel",Q127*'Założenia,wskaźniki, listy'!$C$45,IF(N127="gaz",Q127*'Założenia,wskaźniki, listy'!$D$45,IF(N127="drewno",Q127*'Założenia,wskaźniki, listy'!$E$45,IF(N127="pelet",Q127*'Założenia,wskaźniki, listy'!$G$45,IF(N127="olej opałowy",Q127*'Założenia,wskaźniki, listy'!$G$45,IF(N127="sieć ciepłownicza",0,IF(N127="prąd",0,0)))))))</f>
        <v>0</v>
      </c>
      <c r="AC127" s="639">
        <f>IF(N127="węgiel",Q127*'Założenia,wskaźniki, listy'!$C$46,IF(N127="gaz",Q127*'Założenia,wskaźniki, listy'!$D$46,IF(N127="drewno",Q127*'Założenia,wskaźniki, listy'!$E$46,IF(N127="pelet",Q127*'Założenia,wskaźniki, listy'!$G$46,IF(N127="olej opałowy",Q127*'Założenia,wskaźniki, listy'!$G$46,IF(N127="sieć ciepłownicza",0,IF(N127="prąd",0,0)))))))</f>
        <v>0</v>
      </c>
      <c r="AD127" s="639">
        <f>IF(N127="węgiel",Q127*'Założenia,wskaźniki, listy'!$C$47,IF(N127="gaz",Q127*'Założenia,wskaźniki, listy'!$D$47,IF(N127="drewno",Q127*'Założenia,wskaźniki, listy'!$E$47,IF(N127="pelet",Q127*'Założenia,wskaźniki, listy'!$G$47,IF(N127="olej opałowy",Q127*'Założenia,wskaźniki, listy'!$G$47,IF(N127="sieć ciepłownicza",0,IF(N127="prąd",0,0)))))))</f>
        <v>0</v>
      </c>
      <c r="AE127" s="639">
        <f>IF(N127="węgiel",Q127*'Założenia,wskaźniki, listy'!$C$48,IF(N127="gaz",Q127*'Założenia,wskaźniki, listy'!$D$48,IF(N127="drewno",Q127*'Założenia,wskaźniki, listy'!$E$48,IF(N127="pelet",Q127*'Założenia,wskaźniki, listy'!$G$48,IF(N127="olej opałowy",Q127*'Założenia,wskaźniki, listy'!$G$48,IF(N127="sieć ciepłownicza",0,IF(N127="prąd",0,0)))))))</f>
        <v>0</v>
      </c>
      <c r="AF127" s="639">
        <f>IF(N127="węgiel",Q127*'Założenia,wskaźniki, listy'!$C$49,IF(N127="gaz",Q127*'Założenia,wskaźniki, listy'!$D$49,IF(N127="drewno",Q127*'Założenia,wskaźniki, listy'!$E$49,IF(N127="pelet",Q127*'Założenia,wskaźniki, listy'!$G$49,IF(N127="olej opałowy",Q127*'Założenia,wskaźniki, listy'!$G$49,IF(N127="sieć ciepłownicza",0,IF(N127="prąd",0,0)))))))</f>
        <v>0</v>
      </c>
      <c r="AG127" s="639">
        <f>IF(N127="węgiel",Q127*'Założenia,wskaźniki, listy'!$C$50,IF(N127="gaz",Q127*'Założenia,wskaźniki, listy'!$D$50,IF(N127="drewno",Q127*'Założenia,wskaźniki, listy'!$E$50,IF(N127="pelet",Q127*'Założenia,wskaźniki, listy'!$G$50,IF(N127="olej opałowy",Q127*'Założenia,wskaźniki, listy'!$G$50,IF(N127="sieć ciepłownicza",0,IF(N127="prąd",0,0)))))))</f>
        <v>0</v>
      </c>
      <c r="AH127" s="640">
        <f>IF(L127="węgiel",(P127+R127)/2*'Założenia,wskaźniki, listy'!$C$4,IF(L127="gaz",(P127+R127)/2*'Założenia,wskaźniki, listy'!$C$5,IF(L127="drewno",(P127+R127)/2*'Założenia,wskaźniki, listy'!$C$6,IF(L127="pelet",(P127+R127)/2*'Założenia,wskaźniki, listy'!$C$7,IF(L127="olej opałowy",(P127+R127)/2*'Założenia,wskaźniki, listy'!$C$8,IF(L127="sieć ciepłownicza",(P127+R127)/2*'Założenia,wskaźniki, listy'!$C$9,IF(L127="sieć ciepłownicza",(P127+R127)/2*'Założenia,wskaźniki, listy'!$C$10,)))))))</f>
        <v>3387.5635000000002</v>
      </c>
      <c r="AI127" s="640">
        <f>IF(N127="węgiel",Q127*'Założenia,wskaźniki, listy'!$C$4,IF(N127="gaz",Q127*'Założenia,wskaźniki, listy'!$C$5,IF(N127="drewno",Q127*'Założenia,wskaźniki, listy'!$C$6,IF(N127="pelet",Q127*'Założenia,wskaźniki, listy'!$C$7,IF(N127="olej opałowy",Q127*'Założenia,wskaźniki, listy'!$C$8,IF(N127="sieć ciepłownicza",Q127*'Założenia,wskaźniki, listy'!$C$9,IF(N127="sieć ciepłownicza",Q127*'Założenia,wskaźniki, listy'!$C$10,0)))))))</f>
        <v>0</v>
      </c>
      <c r="AJ127" s="640">
        <f>S127*'Założenia,wskaźniki, listy'!$B$64*1000</f>
        <v>1401.54</v>
      </c>
      <c r="AK127" s="640">
        <f>(H127+I127)*'Założenia,wskaźniki, listy'!$D$64*12</f>
        <v>0</v>
      </c>
      <c r="AL127" s="640">
        <f>AK127*'Założenia,wskaźniki, listy'!$F$64</f>
        <v>0</v>
      </c>
      <c r="AM127" s="639">
        <f t="shared" si="206"/>
        <v>1.7805374999999998E-2</v>
      </c>
      <c r="AN127" s="639">
        <f t="shared" si="207"/>
        <v>1.5906134999999998E-2</v>
      </c>
      <c r="AO127" s="639">
        <f>V127+AC127+S127*'Założenia,wskaźniki, listy'!$J$46</f>
        <v>9.0594958999999982</v>
      </c>
      <c r="AP127" s="639">
        <f t="shared" si="208"/>
        <v>2.1366449999999999E-5</v>
      </c>
      <c r="AQ127" s="639">
        <f t="shared" si="209"/>
        <v>7.1221499999999993E-2</v>
      </c>
      <c r="AR127" s="639">
        <f t="shared" si="210"/>
        <v>1.2503329999999998E-2</v>
      </c>
      <c r="AS127" s="639">
        <f t="shared" si="211"/>
        <v>0.15918976307554758</v>
      </c>
      <c r="AT127" s="647"/>
      <c r="AU127" s="647"/>
      <c r="AV127" s="624" t="b">
        <f t="shared" si="135"/>
        <v>0</v>
      </c>
      <c r="AW127" s="624">
        <f t="shared" si="136"/>
        <v>0</v>
      </c>
      <c r="AX127" s="624" t="b">
        <f t="shared" si="137"/>
        <v>0</v>
      </c>
      <c r="AY127" s="624">
        <f t="shared" si="138"/>
        <v>0</v>
      </c>
      <c r="AZ127" s="624" t="b">
        <f t="shared" si="139"/>
        <v>0</v>
      </c>
      <c r="BA127" s="624">
        <f t="shared" si="140"/>
        <v>0</v>
      </c>
      <c r="BB127" s="624">
        <f t="shared" si="141"/>
        <v>230</v>
      </c>
      <c r="BC127" s="624">
        <f t="shared" si="142"/>
        <v>115</v>
      </c>
      <c r="BD127" s="624" t="b">
        <f t="shared" si="143"/>
        <v>0</v>
      </c>
      <c r="BE127" s="624">
        <f t="shared" si="144"/>
        <v>0</v>
      </c>
      <c r="BF127" s="624">
        <f t="shared" si="145"/>
        <v>79.134999999999991</v>
      </c>
      <c r="BG127" s="624" t="b">
        <f t="shared" si="146"/>
        <v>0</v>
      </c>
      <c r="BH127" s="624" t="b">
        <f t="shared" si="147"/>
        <v>0</v>
      </c>
      <c r="BI127" s="624" t="b">
        <f t="shared" si="148"/>
        <v>0</v>
      </c>
      <c r="BJ127" s="624" t="b">
        <f t="shared" si="149"/>
        <v>0</v>
      </c>
      <c r="BK127" s="624" t="b">
        <f t="shared" si="150"/>
        <v>0</v>
      </c>
      <c r="BL127" s="624" t="b">
        <f t="shared" si="151"/>
        <v>0</v>
      </c>
      <c r="BM127" s="624" t="b">
        <f t="shared" si="152"/>
        <v>0</v>
      </c>
      <c r="BN127" s="624" t="b">
        <f t="shared" si="153"/>
        <v>0</v>
      </c>
      <c r="BO127" s="624" t="b">
        <f t="shared" si="154"/>
        <v>0</v>
      </c>
      <c r="BP127" s="624" t="b">
        <f t="shared" si="155"/>
        <v>0</v>
      </c>
      <c r="BQ127" s="624" t="b">
        <f t="shared" si="156"/>
        <v>0</v>
      </c>
    </row>
    <row r="128" spans="1:69" ht="8.25" customHeight="1">
      <c r="A128" s="1086"/>
      <c r="B128" s="872"/>
      <c r="C128" s="874"/>
      <c r="D128" s="645"/>
      <c r="E128" s="645"/>
      <c r="F128" s="644"/>
      <c r="G128" s="644"/>
      <c r="H128" s="644"/>
      <c r="I128" s="635"/>
      <c r="J128" s="644">
        <f>IF(F128&lt;=1966,'Założenia,wskaźniki, listy'!$H$4,IF(F128&gt;1966,IF(F128&lt;=1985,'Założenia,wskaźniki, listy'!$H$5,IF(F128&gt;1985,IF(F128&lt;=1992,'Założenia,wskaźniki, listy'!$H$6,IF(F128&gt;1992,IF(F128&lt;=1996,'Założenia,wskaźniki, listy'!$H$7,IF(F128&gt;1996,IF(F128&lt;=2015,'Założenia,wskaźniki, listy'!$H$8)))))))))</f>
        <v>290</v>
      </c>
      <c r="K128" s="872"/>
      <c r="L128" s="644"/>
      <c r="M128" s="644"/>
      <c r="N128" s="644"/>
      <c r="O128" s="637">
        <f t="shared" ref="O128" si="226">IF(P128&gt;0,(Q128+R128+P128)/2,Q128+R128)</f>
        <v>0</v>
      </c>
      <c r="P128" s="646">
        <f>IF(K128="kompletna",J128*G128*0.0036*'Założenia,wskaźniki, listy'!$P$9,IF(K128="częściowa",J128*G128*0.0036*'Założenia,wskaźniki, listy'!$P$10,IF(K128="brak",J128*G128*0.0036*'Założenia,wskaźniki, listy'!$P$11,0)))</f>
        <v>0</v>
      </c>
      <c r="Q128" s="638">
        <f>H128*'Założenia,wskaźniki, listy'!$L$15</f>
        <v>0</v>
      </c>
      <c r="R128" s="635">
        <f>IF(L128="węgiel",'Mieszkalne - baza'!M128*'Założenia,wskaźniki, listy'!$B$4,IF(L128="gaz",'Mieszkalne - baza'!M128*'Założenia,wskaźniki, listy'!$B$5,IF(L128="drewno",'Mieszkalne - baza'!M128*'Założenia,wskaźniki, listy'!$B$6,IF(L128="pelet",'Mieszkalne - baza'!M128*'Założenia,wskaźniki, listy'!$B$7,IF(L128="olej opałowy",'Mieszkalne - baza'!M128*'Założenia,wskaźniki, listy'!$B$8,IF(L128="sieć ciepłownicza",0,0))))))</f>
        <v>0</v>
      </c>
      <c r="S128" s="1085"/>
      <c r="T128" s="639">
        <f>IF(L128="węgiel",R128*'Założenia,wskaźniki, listy'!$C$44,IF(L128="gaz",R128*'Założenia,wskaźniki, listy'!$D$44,IF(L128="drewno",R128*'Założenia,wskaźniki, listy'!$E$44,IF(L128="pelet",R128*'Założenia,wskaźniki, listy'!$F$44,IF(L128="olej opałowy",R128*'Założenia,wskaźniki, listy'!$G$44,IF(L128="sieć ciepłownicza",0,IF(L128="prąd",0,0)))))))</f>
        <v>0</v>
      </c>
      <c r="U128" s="639">
        <f>IF(L128="węgiel",R128*'Założenia,wskaźniki, listy'!$C$45,IF(L128="gaz",R128*'Założenia,wskaźniki, listy'!$D$45,IF(L128="drewno",R128*'Założenia,wskaźniki, listy'!$E$45,IF(L128="pelet",R128*'Założenia,wskaźniki, listy'!$F$45,IF(L128="olej opałowy",R128*'Założenia,wskaźniki, listy'!$G$45,IF(L128="sieć ciepłownicza",0,IF(L128="prąd",0,0)))))))</f>
        <v>0</v>
      </c>
      <c r="V128" s="639">
        <f>IF(L128="węgiel",R128*'Założenia,wskaźniki, listy'!$C$46,IF(L128="gaz",R128*'Założenia,wskaźniki, listy'!$D$46,IF(L128="drewno",R128*'Założenia,wskaźniki, listy'!$E$46,IF(L128="pelet",R128*'Założenia,wskaźniki, listy'!$F$46,IF(L128="olej opałowy",R128*'Założenia,wskaźniki, listy'!$G$46,IF(L128="sieć ciepłownicza",R128*'Założenia,wskaźniki, listy'!$H$46,IF(L128="prąd",R128*'Założenia,wskaźniki, listy'!$I$46,0)))))))</f>
        <v>0</v>
      </c>
      <c r="W128" s="639">
        <f>IF(L128="węgiel",R128*'Założenia,wskaźniki, listy'!$C$47,IF(L128="gaz",R128*'Założenia,wskaźniki, listy'!$D$47,IF(L128="drewno",R128*'Założenia,wskaźniki, listy'!$E$47,IF(L128="pelet",R128*'Założenia,wskaźniki, listy'!$F$47,IF(L128="olej opałowy",R128*'Założenia,wskaźniki, listy'!$G$47,IF(L128="sieć ciepłownicza",0,IF(L128="prąd",0,0)))))))</f>
        <v>0</v>
      </c>
      <c r="X128" s="639">
        <f>IF(L128="węgiel",R128*'Założenia,wskaźniki, listy'!$C$48, IF(L128="gaz",R128*'Założenia,wskaźniki, listy'!$D$48,IF(L128="drewno",R128*'Założenia,wskaźniki, listy'!$E$48,IF(L128="pelet",R128*'Założenia,wskaźniki, listy'!$F$48,IF(L128="olej opałowy",R128*'Założenia,wskaźniki, listy'!$G$48,IF(L128="sieć ciepłownicza",0,IF(L128="prąd",0,0)))))))</f>
        <v>0</v>
      </c>
      <c r="Y128" s="639">
        <f>IF(L128="węgiel",R128*'Założenia,wskaźniki, listy'!$C$49, IF(L128="gaz",R128*'Założenia,wskaźniki, listy'!$D$49, IF(L128="drewno",R128*'Założenia,wskaźniki, listy'!$E$49,IF(L128="pelet",R128*'Założenia,wskaźniki, listy'!$F$49,IF(L128="olej opałowy",R128*'Założenia,wskaźniki, listy'!$G$49,IF(L128="sieć ciepłownicza",0,IF(L128="prąd",0,0)))))))</f>
        <v>0</v>
      </c>
      <c r="Z128" s="639">
        <f>IF(L128="węgiel",R128*'Założenia,wskaźniki, listy'!$C$50,IF(L128="gaz",R128*'Założenia,wskaźniki, listy'!$D$50, IF(L128="drewno",R128*'Założenia,wskaźniki, listy'!$E$50,IF(L128="pelet",R128*'Założenia,wskaźniki, listy'!$F$50,IF(L128="pelet",R128*'Założenia,wskaźniki, listy'!$F$50,IF(L128="olej opałowy",R128*'Założenia,wskaźniki, listy'!$G$50,IF(L128="sieć ciepłownicza",0,IF(L128="prąd",0,0))))))))</f>
        <v>0</v>
      </c>
      <c r="AA128" s="639">
        <f>IF(N128="węgiel",Q128*'Założenia,wskaźniki, listy'!$C$44,IF(N128="gaz",Q128*'Założenia,wskaźniki, listy'!$D$44,IF(N128="drewno",Q128*'Założenia,wskaźniki, listy'!$E$44,IF(N128="pelet",Q128*'Założenia,wskaźniki, listy'!$G$44,IF(N128="olej opałowy",Q128*'Założenia,wskaźniki, listy'!$G$44,IF(N128="sieć ciepłownicza",0,IF(N128="prąd",0,0)))))))</f>
        <v>0</v>
      </c>
      <c r="AB128" s="639">
        <f>IF(N128="węgiel",Q128*'Założenia,wskaźniki, listy'!$C$45,IF(N128="gaz",Q128*'Założenia,wskaźniki, listy'!$D$45,IF(N128="drewno",Q128*'Założenia,wskaźniki, listy'!$E$45,IF(N128="pelet",Q128*'Założenia,wskaźniki, listy'!$G$45,IF(N128="olej opałowy",Q128*'Założenia,wskaźniki, listy'!$G$45,IF(N128="sieć ciepłownicza",0,IF(N128="prąd",0,0)))))))</f>
        <v>0</v>
      </c>
      <c r="AC128" s="639">
        <f>IF(N128="węgiel",Q128*'Założenia,wskaźniki, listy'!$C$46,IF(N128="gaz",Q128*'Założenia,wskaźniki, listy'!$D$46,IF(N128="drewno",Q128*'Założenia,wskaźniki, listy'!$E$46,IF(N128="pelet",Q128*'Założenia,wskaźniki, listy'!$G$46,IF(N128="olej opałowy",Q128*'Założenia,wskaźniki, listy'!$G$46,IF(N128="sieć ciepłownicza",0,IF(N128="prąd",0,0)))))))</f>
        <v>0</v>
      </c>
      <c r="AD128" s="639">
        <f>IF(N128="węgiel",Q128*'Założenia,wskaźniki, listy'!$C$47,IF(N128="gaz",Q128*'Założenia,wskaźniki, listy'!$D$47,IF(N128="drewno",Q128*'Założenia,wskaźniki, listy'!$E$47,IF(N128="pelet",Q128*'Założenia,wskaźniki, listy'!$G$47,IF(N128="olej opałowy",Q128*'Założenia,wskaźniki, listy'!$G$47,IF(N128="sieć ciepłownicza",0,IF(N128="prąd",0,0)))))))</f>
        <v>0</v>
      </c>
      <c r="AE128" s="639">
        <f>IF(N128="węgiel",Q128*'Założenia,wskaźniki, listy'!$C$48,IF(N128="gaz",Q128*'Założenia,wskaźniki, listy'!$D$48,IF(N128="drewno",Q128*'Założenia,wskaźniki, listy'!$E$48,IF(N128="pelet",Q128*'Założenia,wskaźniki, listy'!$G$48,IF(N128="olej opałowy",Q128*'Założenia,wskaźniki, listy'!$G$48,IF(N128="sieć ciepłownicza",0,IF(N128="prąd",0,0)))))))</f>
        <v>0</v>
      </c>
      <c r="AF128" s="639">
        <f>IF(N128="węgiel",Q128*'Założenia,wskaźniki, listy'!$C$49,IF(N128="gaz",Q128*'Założenia,wskaźniki, listy'!$D$49,IF(N128="drewno",Q128*'Założenia,wskaźniki, listy'!$E$49,IF(N128="pelet",Q128*'Założenia,wskaźniki, listy'!$G$49,IF(N128="olej opałowy",Q128*'Założenia,wskaźniki, listy'!$G$49,IF(N128="sieć ciepłownicza",0,IF(N128="prąd",0,0)))))))</f>
        <v>0</v>
      </c>
      <c r="AG128" s="639">
        <f>IF(N128="węgiel",Q128*'Założenia,wskaźniki, listy'!$C$50,IF(N128="gaz",Q128*'Założenia,wskaźniki, listy'!$D$50,IF(N128="drewno",Q128*'Założenia,wskaźniki, listy'!$E$50,IF(N128="pelet",Q128*'Założenia,wskaźniki, listy'!$G$50,IF(N128="olej opałowy",Q128*'Założenia,wskaźniki, listy'!$G$50,IF(N128="sieć ciepłownicza",0,IF(N128="prąd",0,0)))))))</f>
        <v>0</v>
      </c>
      <c r="AH128" s="640">
        <f>IF(L128="węgiel",(P128+R128)/2*'Założenia,wskaźniki, listy'!$C$4,IF(L128="gaz",(P128+R128)/2*'Założenia,wskaźniki, listy'!$C$5,IF(L128="drewno",(P128+R128)/2*'Założenia,wskaźniki, listy'!$C$6,IF(L128="pelet",(P128+R128)/2*'Założenia,wskaźniki, listy'!$C$7,IF(L128="olej opałowy",(P128+R128)/2*'Założenia,wskaźniki, listy'!$C$8,IF(L128="sieć ciepłownicza",(P128+R128)/2*'Założenia,wskaźniki, listy'!$C$9,IF(L128="sieć ciepłownicza",(P128+R128)/2*'Założenia,wskaźniki, listy'!$C$10,)))))))</f>
        <v>0</v>
      </c>
      <c r="AI128" s="640">
        <f>IF(N128="węgiel",Q128*'Założenia,wskaźniki, listy'!$C$4,IF(N128="gaz",Q128*'Założenia,wskaźniki, listy'!$C$5,IF(N128="drewno",Q128*'Założenia,wskaźniki, listy'!$C$6,IF(N128="pelet",Q128*'Założenia,wskaźniki, listy'!$C$7,IF(N128="olej opałowy",Q128*'Założenia,wskaźniki, listy'!$C$8,IF(N128="sieć ciepłownicza",Q128*'Założenia,wskaźniki, listy'!$C$9,IF(N128="sieć ciepłownicza",Q128*'Założenia,wskaźniki, listy'!$C$10,0)))))))</f>
        <v>0</v>
      </c>
      <c r="AJ128" s="640">
        <f>S128*'Założenia,wskaźniki, listy'!$B$64*1000</f>
        <v>0</v>
      </c>
      <c r="AK128" s="640">
        <f>(H128+I128)*'Założenia,wskaźniki, listy'!$D$64*12</f>
        <v>0</v>
      </c>
      <c r="AL128" s="640">
        <f>AK128*'Założenia,wskaźniki, listy'!$F$64</f>
        <v>0</v>
      </c>
      <c r="AM128" s="639">
        <f t="shared" ref="AM128" si="227">T128+AA128</f>
        <v>0</v>
      </c>
      <c r="AN128" s="639">
        <f t="shared" ref="AN128" si="228">U128+AB128</f>
        <v>0</v>
      </c>
      <c r="AO128" s="639">
        <f>V128+AC128+S128*'Założenia,wskaźniki, listy'!$J$46</f>
        <v>0</v>
      </c>
      <c r="AP128" s="639">
        <f t="shared" ref="AP128" si="229">W128+AD128</f>
        <v>0</v>
      </c>
      <c r="AQ128" s="639">
        <f t="shared" ref="AQ128" si="230">X128+AE128</f>
        <v>0</v>
      </c>
      <c r="AR128" s="639">
        <f t="shared" ref="AR128" si="231">Y128+AF128</f>
        <v>0</v>
      </c>
      <c r="AS128" s="639">
        <f t="shared" ref="AS128" si="232">Z128+AG128</f>
        <v>0</v>
      </c>
      <c r="AT128" s="647"/>
      <c r="AU128" s="647"/>
      <c r="AV128" s="624">
        <f t="shared" si="135"/>
        <v>0</v>
      </c>
      <c r="AW128" s="624" t="b">
        <f t="shared" si="136"/>
        <v>0</v>
      </c>
      <c r="AX128" s="624" t="b">
        <f t="shared" si="137"/>
        <v>0</v>
      </c>
      <c r="AY128" s="624" t="b">
        <f t="shared" si="138"/>
        <v>0</v>
      </c>
      <c r="AZ128" s="624" t="b">
        <f t="shared" si="139"/>
        <v>0</v>
      </c>
      <c r="BA128" s="624" t="b">
        <f t="shared" si="140"/>
        <v>0</v>
      </c>
      <c r="BB128" s="624" t="b">
        <f t="shared" si="141"/>
        <v>0</v>
      </c>
      <c r="BC128" s="624" t="b">
        <f t="shared" si="142"/>
        <v>0</v>
      </c>
      <c r="BD128" s="624" t="b">
        <f t="shared" si="143"/>
        <v>0</v>
      </c>
      <c r="BE128" s="624" t="b">
        <f t="shared" si="144"/>
        <v>0</v>
      </c>
      <c r="BF128" s="624" t="b">
        <f t="shared" si="145"/>
        <v>0</v>
      </c>
      <c r="BG128" s="624" t="b">
        <f t="shared" si="146"/>
        <v>0</v>
      </c>
      <c r="BH128" s="624" t="b">
        <f t="shared" si="147"/>
        <v>0</v>
      </c>
      <c r="BI128" s="624" t="b">
        <f t="shared" si="148"/>
        <v>0</v>
      </c>
      <c r="BJ128" s="624" t="b">
        <f t="shared" si="149"/>
        <v>0</v>
      </c>
      <c r="BK128" s="624" t="b">
        <f t="shared" si="150"/>
        <v>0</v>
      </c>
      <c r="BL128" s="624" t="b">
        <f t="shared" si="151"/>
        <v>0</v>
      </c>
      <c r="BM128" s="624" t="b">
        <f t="shared" si="152"/>
        <v>0</v>
      </c>
      <c r="BN128" s="624" t="b">
        <f t="shared" si="153"/>
        <v>0</v>
      </c>
      <c r="BO128" s="624" t="b">
        <f t="shared" si="154"/>
        <v>0</v>
      </c>
      <c r="BP128" s="624" t="b">
        <f t="shared" si="155"/>
        <v>0</v>
      </c>
      <c r="BQ128" s="624" t="b">
        <f t="shared" si="156"/>
        <v>0</v>
      </c>
    </row>
    <row r="129" spans="1:69">
      <c r="A129" s="1086">
        <v>63</v>
      </c>
      <c r="B129" s="872" t="s">
        <v>21</v>
      </c>
      <c r="C129" s="873" t="s">
        <v>634</v>
      </c>
      <c r="D129" s="645"/>
      <c r="E129" s="645">
        <v>14</v>
      </c>
      <c r="F129" s="644">
        <v>1968</v>
      </c>
      <c r="G129" s="644">
        <v>100</v>
      </c>
      <c r="H129" s="644"/>
      <c r="I129" s="635"/>
      <c r="J129" s="644">
        <f>IF(F129&lt;=1966,'Założenia,wskaźniki, listy'!$H$4,IF(F129&gt;1966,IF(F129&lt;=1985,'Założenia,wskaźniki, listy'!$H$5,IF(F129&gt;1985,IF(F129&lt;=1992,'Założenia,wskaźniki, listy'!$H$6,IF(F129&gt;1992,IF(F129&lt;=1996,'Założenia,wskaźniki, listy'!$H$7,IF(F129&gt;1996,IF(F129&lt;=2015,'Założenia,wskaźniki, listy'!$H$8)))))))))</f>
        <v>250</v>
      </c>
      <c r="K129" s="864" t="s">
        <v>31</v>
      </c>
      <c r="L129" s="644" t="s">
        <v>8</v>
      </c>
      <c r="M129" s="635">
        <v>1</v>
      </c>
      <c r="N129" s="644"/>
      <c r="O129" s="637">
        <f t="shared" si="134"/>
        <v>56.305</v>
      </c>
      <c r="P129" s="646">
        <f>IF(K129="kompletna",J129*G129*0.0036*'Założenia,wskaźniki, listy'!$P$9,IF(K129="częściowa",J129*G129*0.0036*'Założenia,wskaźniki, listy'!$P$10,IF(K129="brak",J129*G129*0.0036*'Założenia,wskaźniki, listy'!$P$11,0)))</f>
        <v>90</v>
      </c>
      <c r="Q129" s="638">
        <f>H129*'Założenia,wskaźniki, listy'!$L$15</f>
        <v>0</v>
      </c>
      <c r="R129" s="635">
        <f>IF(L129="węgiel",'Mieszkalne - baza'!M129*'Założenia,wskaźniki, listy'!$B$4,IF(L129="gaz",'Mieszkalne - baza'!M129*'Założenia,wskaźniki, listy'!$B$5,IF(L129="drewno",'Mieszkalne - baza'!M129*'Założenia,wskaźniki, listy'!$B$6,IF(L129="pelet",'Mieszkalne - baza'!M129*'Założenia,wskaźniki, listy'!$B$7,IF(L129="olej opałowy",'Mieszkalne - baza'!M129*'Założenia,wskaźniki, listy'!$B$8,IF(L129="sieć ciepłownicza",0,0))))))</f>
        <v>22.61</v>
      </c>
      <c r="S129" s="1084">
        <v>2.1431999999999998</v>
      </c>
      <c r="T129" s="639">
        <f>IF(L129="węgiel",R129*'Założenia,wskaźniki, listy'!$C$44,IF(L129="gaz",R129*'Założenia,wskaźniki, listy'!$D$44,IF(L129="drewno",R129*'Założenia,wskaźniki, listy'!$E$44,IF(L129="pelet",R129*'Założenia,wskaźniki, listy'!$F$44,IF(L129="olej opałowy",R129*'Założenia,wskaźniki, listy'!$G$44,IF(L129="sieć ciepłownicza",0,IF(L129="prąd",0,0)))))))</f>
        <v>5.0872499999999998E-3</v>
      </c>
      <c r="U129" s="639">
        <f>IF(L129="węgiel",R129*'Założenia,wskaźniki, listy'!$C$45,IF(L129="gaz",R129*'Założenia,wskaźniki, listy'!$D$45,IF(L129="drewno",R129*'Założenia,wskaźniki, listy'!$E$45,IF(L129="pelet",R129*'Założenia,wskaźniki, listy'!$F$45,IF(L129="olej opałowy",R129*'Założenia,wskaźniki, listy'!$G$45,IF(L129="sieć ciepłownicza",0,IF(L129="prąd",0,0)))))))</f>
        <v>4.5446100000000001E-3</v>
      </c>
      <c r="V129" s="639">
        <f>IF(L129="węgiel",R129*'Założenia,wskaźniki, listy'!$C$46,IF(L129="gaz",R129*'Założenia,wskaźniki, listy'!$D$46,IF(L129="drewno",R129*'Założenia,wskaźniki, listy'!$E$46,IF(L129="pelet",R129*'Założenia,wskaźniki, listy'!$F$46,IF(L129="olej opałowy",R129*'Założenia,wskaźniki, listy'!$G$46,IF(L129="sieć ciepłownicza",R129*'Założenia,wskaźniki, listy'!$H$46,IF(L129="prąd",R129*'Założenia,wskaźniki, listy'!$I$46,0)))))))</f>
        <v>2.1194613999999996</v>
      </c>
      <c r="W129" s="639">
        <f>IF(L129="węgiel",R129*'Założenia,wskaźniki, listy'!$C$47,IF(L129="gaz",R129*'Założenia,wskaźniki, listy'!$D$47,IF(L129="drewno",R129*'Założenia,wskaźniki, listy'!$E$47,IF(L129="pelet",R129*'Założenia,wskaźniki, listy'!$F$47,IF(L129="olej opałowy",R129*'Założenia,wskaźniki, listy'!$G$47,IF(L129="sieć ciepłownicza",0,IF(L129="prąd",0,0)))))))</f>
        <v>6.1047000000000002E-6</v>
      </c>
      <c r="X129" s="639">
        <f>IF(L129="węgiel",R129*'Założenia,wskaźniki, listy'!$C$48, IF(L129="gaz",R129*'Założenia,wskaźniki, listy'!$D$48,IF(L129="drewno",R129*'Założenia,wskaźniki, listy'!$E$48,IF(L129="pelet",R129*'Założenia,wskaźniki, listy'!$F$48,IF(L129="olej opałowy",R129*'Założenia,wskaźniki, listy'!$G$48,IF(L129="sieć ciepłownicza",0,IF(L129="prąd",0,0)))))))</f>
        <v>2.0348999999999999E-2</v>
      </c>
      <c r="Y129" s="639">
        <f>IF(L129="węgiel",R129*'Założenia,wskaźniki, listy'!$C$49, IF(L129="gaz",R129*'Założenia,wskaźniki, listy'!$D$49, IF(L129="drewno",R129*'Założenia,wskaźniki, listy'!$E$49,IF(L129="pelet",R129*'Założenia,wskaźniki, listy'!$F$49,IF(L129="olej opałowy",R129*'Założenia,wskaźniki, listy'!$G$49,IF(L129="sieć ciepłownicza",0,IF(L129="prąd",0,0)))))))</f>
        <v>3.5723799999999996E-3</v>
      </c>
      <c r="Z129" s="639">
        <f>IF(L129="węgiel",R129*'Założenia,wskaźniki, listy'!$C$50,IF(L129="gaz",R129*'Założenia,wskaźniki, listy'!$D$50, IF(L129="drewno",R129*'Założenia,wskaźniki, listy'!$E$50,IF(L129="pelet",R129*'Założenia,wskaźniki, listy'!$F$50,IF(L129="pelet",R129*'Założenia,wskaźniki, listy'!$F$50,IF(L129="olej opałowy",R129*'Założenia,wskaźniki, listy'!$G$50,IF(L129="sieć ciepłownicza",0,IF(L129="prąd",0,0))))))))</f>
        <v>4.5482789450156456E-2</v>
      </c>
      <c r="AA129" s="639">
        <f>IF(N129="węgiel",Q129*'Założenia,wskaźniki, listy'!$C$44,IF(N129="gaz",Q129*'Założenia,wskaźniki, listy'!$D$44,IF(N129="drewno",Q129*'Założenia,wskaźniki, listy'!$E$44,IF(N129="pelet",Q129*'Założenia,wskaźniki, listy'!$G$44,IF(N129="olej opałowy",Q129*'Założenia,wskaźniki, listy'!$G$44,IF(N129="sieć ciepłownicza",0,IF(N129="prąd",0,0)))))))</f>
        <v>0</v>
      </c>
      <c r="AB129" s="639">
        <f>IF(N129="węgiel",Q129*'Założenia,wskaźniki, listy'!$C$45,IF(N129="gaz",Q129*'Założenia,wskaźniki, listy'!$D$45,IF(N129="drewno",Q129*'Założenia,wskaźniki, listy'!$E$45,IF(N129="pelet",Q129*'Założenia,wskaźniki, listy'!$G$45,IF(N129="olej opałowy",Q129*'Założenia,wskaźniki, listy'!$G$45,IF(N129="sieć ciepłownicza",0,IF(N129="prąd",0,0)))))))</f>
        <v>0</v>
      </c>
      <c r="AC129" s="639">
        <f>IF(N129="węgiel",Q129*'Założenia,wskaźniki, listy'!$C$46,IF(N129="gaz",Q129*'Założenia,wskaźniki, listy'!$D$46,IF(N129="drewno",Q129*'Założenia,wskaźniki, listy'!$E$46,IF(N129="pelet",Q129*'Założenia,wskaźniki, listy'!$G$46,IF(N129="olej opałowy",Q129*'Założenia,wskaźniki, listy'!$G$46,IF(N129="sieć ciepłownicza",0,IF(N129="prąd",0,0)))))))</f>
        <v>0</v>
      </c>
      <c r="AD129" s="639">
        <f>IF(N129="węgiel",Q129*'Założenia,wskaźniki, listy'!$C$47,IF(N129="gaz",Q129*'Założenia,wskaźniki, listy'!$D$47,IF(N129="drewno",Q129*'Założenia,wskaźniki, listy'!$E$47,IF(N129="pelet",Q129*'Założenia,wskaźniki, listy'!$G$47,IF(N129="olej opałowy",Q129*'Założenia,wskaźniki, listy'!$G$47,IF(N129="sieć ciepłownicza",0,IF(N129="prąd",0,0)))))))</f>
        <v>0</v>
      </c>
      <c r="AE129" s="639">
        <f>IF(N129="węgiel",Q129*'Założenia,wskaźniki, listy'!$C$48,IF(N129="gaz",Q129*'Założenia,wskaźniki, listy'!$D$48,IF(N129="drewno",Q129*'Założenia,wskaźniki, listy'!$E$48,IF(N129="pelet",Q129*'Założenia,wskaźniki, listy'!$G$48,IF(N129="olej opałowy",Q129*'Założenia,wskaźniki, listy'!$G$48,IF(N129="sieć ciepłownicza",0,IF(N129="prąd",0,0)))))))</f>
        <v>0</v>
      </c>
      <c r="AF129" s="639">
        <f>IF(N129="węgiel",Q129*'Założenia,wskaźniki, listy'!$C$49,IF(N129="gaz",Q129*'Założenia,wskaźniki, listy'!$D$49,IF(N129="drewno",Q129*'Założenia,wskaźniki, listy'!$E$49,IF(N129="pelet",Q129*'Założenia,wskaźniki, listy'!$G$49,IF(N129="olej opałowy",Q129*'Założenia,wskaźniki, listy'!$G$49,IF(N129="sieć ciepłownicza",0,IF(N129="prąd",0,0)))))))</f>
        <v>0</v>
      </c>
      <c r="AG129" s="639">
        <f>IF(N129="węgiel",Q129*'Założenia,wskaźniki, listy'!$C$50,IF(N129="gaz",Q129*'Założenia,wskaźniki, listy'!$D$50,IF(N129="drewno",Q129*'Założenia,wskaźniki, listy'!$E$50,IF(N129="pelet",Q129*'Założenia,wskaźniki, listy'!$G$50,IF(N129="olej opałowy",Q129*'Założenia,wskaźniki, listy'!$G$50,IF(N129="sieć ciepłownicza",0,IF(N129="prąd",0,0)))))))</f>
        <v>0</v>
      </c>
      <c r="AH129" s="640">
        <f>IF(L129="węgiel",(P129+R129)/2*'Założenia,wskaźniki, listy'!$C$4,IF(L129="gaz",(P129+R129)/2*'Założenia,wskaźniki, listy'!$C$5,IF(L129="drewno",(P129+R129)/2*'Założenia,wskaźniki, listy'!$C$6,IF(L129="pelet",(P129+R129)/2*'Założenia,wskaźniki, listy'!$C$7,IF(L129="olej opałowy",(P129+R129)/2*'Założenia,wskaźniki, listy'!$C$8,IF(L129="sieć ciepłownicza",(P129+R129)/2*'Założenia,wskaźniki, listy'!$C$9,IF(L129="sieć ciepłownicza",(P129+R129)/2*'Założenia,wskaźniki, listy'!$C$10,)))))))</f>
        <v>2308.5050000000001</v>
      </c>
      <c r="AI129" s="640">
        <f>IF(N129="węgiel",Q129*'Założenia,wskaźniki, listy'!$C$4,IF(N129="gaz",Q129*'Założenia,wskaźniki, listy'!$C$5,IF(N129="drewno",Q129*'Założenia,wskaźniki, listy'!$C$6,IF(N129="pelet",Q129*'Założenia,wskaźniki, listy'!$C$7,IF(N129="olej opałowy",Q129*'Założenia,wskaźniki, listy'!$C$8,IF(N129="sieć ciepłownicza",Q129*'Założenia,wskaźniki, listy'!$C$9,IF(N129="sieć ciepłownicza",Q129*'Założenia,wskaźniki, listy'!$C$10,0)))))))</f>
        <v>0</v>
      </c>
      <c r="AJ129" s="640">
        <f>S129*'Założenia,wskaźniki, listy'!$B$64*1000</f>
        <v>1521.6719999999998</v>
      </c>
      <c r="AK129" s="640">
        <f>(H129+I129)*'Założenia,wskaźniki, listy'!$D$64*12</f>
        <v>0</v>
      </c>
      <c r="AL129" s="640">
        <f>AK129*'Założenia,wskaźniki, listy'!$F$64</f>
        <v>0</v>
      </c>
      <c r="AM129" s="639">
        <f t="shared" si="206"/>
        <v>5.0872499999999998E-3</v>
      </c>
      <c r="AN129" s="639">
        <f t="shared" si="207"/>
        <v>4.5446100000000001E-3</v>
      </c>
      <c r="AO129" s="639">
        <f>V129+AC129+S129*'Założenia,wskaźniki, listy'!$J$46</f>
        <v>3.9015321999999992</v>
      </c>
      <c r="AP129" s="639">
        <f t="shared" si="208"/>
        <v>6.1047000000000002E-6</v>
      </c>
      <c r="AQ129" s="639">
        <f t="shared" si="209"/>
        <v>2.0348999999999999E-2</v>
      </c>
      <c r="AR129" s="639">
        <f t="shared" si="210"/>
        <v>3.5723799999999996E-3</v>
      </c>
      <c r="AS129" s="639">
        <f t="shared" si="211"/>
        <v>4.5482789450156456E-2</v>
      </c>
      <c r="AT129" s="647"/>
      <c r="AU129" s="647"/>
      <c r="AV129" s="624" t="b">
        <f t="shared" si="135"/>
        <v>0</v>
      </c>
      <c r="AW129" s="624" t="b">
        <f t="shared" si="136"/>
        <v>0</v>
      </c>
      <c r="AX129" s="624">
        <f t="shared" si="137"/>
        <v>100</v>
      </c>
      <c r="AY129" s="624" t="b">
        <f t="shared" si="138"/>
        <v>0</v>
      </c>
      <c r="AZ129" s="624" t="b">
        <f t="shared" si="139"/>
        <v>0</v>
      </c>
      <c r="BA129" s="624" t="b">
        <f t="shared" si="140"/>
        <v>0</v>
      </c>
      <c r="BB129" s="624" t="b">
        <f t="shared" si="141"/>
        <v>0</v>
      </c>
      <c r="BC129" s="624" t="b">
        <f t="shared" si="142"/>
        <v>0</v>
      </c>
      <c r="BD129" s="624" t="b">
        <f t="shared" si="143"/>
        <v>0</v>
      </c>
      <c r="BE129" s="624" t="b">
        <f t="shared" si="144"/>
        <v>0</v>
      </c>
      <c r="BF129" s="624">
        <f t="shared" si="145"/>
        <v>22.61</v>
      </c>
      <c r="BG129" s="624" t="b">
        <f t="shared" si="146"/>
        <v>0</v>
      </c>
      <c r="BH129" s="624" t="b">
        <f t="shared" si="147"/>
        <v>0</v>
      </c>
      <c r="BI129" s="624" t="b">
        <f t="shared" si="148"/>
        <v>0</v>
      </c>
      <c r="BJ129" s="624" t="b">
        <f t="shared" si="149"/>
        <v>0</v>
      </c>
      <c r="BK129" s="624" t="b">
        <f t="shared" si="150"/>
        <v>0</v>
      </c>
      <c r="BL129" s="624" t="b">
        <f t="shared" si="151"/>
        <v>0</v>
      </c>
      <c r="BM129" s="624" t="b">
        <f t="shared" si="152"/>
        <v>0</v>
      </c>
      <c r="BN129" s="624" t="b">
        <f t="shared" si="153"/>
        <v>0</v>
      </c>
      <c r="BO129" s="624" t="b">
        <f t="shared" si="154"/>
        <v>0</v>
      </c>
      <c r="BP129" s="624" t="b">
        <f t="shared" si="155"/>
        <v>0</v>
      </c>
      <c r="BQ129" s="624" t="b">
        <f t="shared" si="156"/>
        <v>0</v>
      </c>
    </row>
    <row r="130" spans="1:69" ht="8.25" customHeight="1">
      <c r="A130" s="1086"/>
      <c r="B130" s="872"/>
      <c r="C130" s="872"/>
      <c r="D130" s="645"/>
      <c r="E130" s="645"/>
      <c r="F130" s="644"/>
      <c r="G130" s="644"/>
      <c r="H130" s="644"/>
      <c r="I130" s="635"/>
      <c r="J130" s="644">
        <f>IF(F130&lt;=1966,'Założenia,wskaźniki, listy'!$H$4,IF(F130&gt;1966,IF(F130&lt;=1985,'Założenia,wskaźniki, listy'!$H$5,IF(F130&gt;1985,IF(F130&lt;=1992,'Założenia,wskaźniki, listy'!$H$6,IF(F130&gt;1992,IF(F130&lt;=1996,'Założenia,wskaźniki, listy'!$H$7,IF(F130&gt;1996,IF(F130&lt;=2015,'Założenia,wskaźniki, listy'!$H$8)))))))))</f>
        <v>290</v>
      </c>
      <c r="K130" s="872"/>
      <c r="L130" s="644" t="s">
        <v>79</v>
      </c>
      <c r="M130" s="644">
        <v>3</v>
      </c>
      <c r="N130" s="644"/>
      <c r="O130" s="637">
        <f t="shared" ref="O130" si="233">IF(P130&gt;0,(Q130+R130+P130)/2,Q130+R130)</f>
        <v>45</v>
      </c>
      <c r="P130" s="646">
        <f>IF(K130="kompletna",J130*G130*0.0036*'Założenia,wskaźniki, listy'!$P$9,IF(K130="częściowa",J130*G130*0.0036*'Założenia,wskaźniki, listy'!$P$10,IF(K130="brak",J130*G130*0.0036*'Założenia,wskaźniki, listy'!$P$11,0)))</f>
        <v>0</v>
      </c>
      <c r="Q130" s="638">
        <f>H130*'Założenia,wskaźniki, listy'!$L$15</f>
        <v>0</v>
      </c>
      <c r="R130" s="635">
        <f>IF(L130="węgiel",'Mieszkalne - baza'!M130*'Założenia,wskaźniki, listy'!$B$4,IF(L130="gaz",'Mieszkalne - baza'!M130*'Założenia,wskaźniki, listy'!$B$5,IF(L130="drewno",'Mieszkalne - baza'!M130*'Założenia,wskaźniki, listy'!$B$6,IF(L130="pelet",'Mieszkalne - baza'!M130*'Założenia,wskaźniki, listy'!$B$7,IF(L130="olej opałowy",'Mieszkalne - baza'!M130*'Założenia,wskaźniki, listy'!$B$8,IF(L130="sieć ciepłownicza",0,0))))))</f>
        <v>45</v>
      </c>
      <c r="S130" s="1085"/>
      <c r="T130" s="639">
        <f>IF(L130="węgiel",R130*'Założenia,wskaźniki, listy'!$C$44,IF(L130="gaz",R130*'Założenia,wskaźniki, listy'!$D$44,IF(L130="drewno",R130*'Założenia,wskaźniki, listy'!$E$44,IF(L130="pelet",R130*'Założenia,wskaźniki, listy'!$F$44,IF(L130="olej opałowy",R130*'Założenia,wskaźniki, listy'!$G$44,IF(L130="sieć ciepłownicza",0,IF(L130="prąd",0,0)))))))</f>
        <v>2.1600000000000001E-2</v>
      </c>
      <c r="U130" s="639">
        <f>IF(L130="węgiel",R130*'Założenia,wskaźniki, listy'!$C$45,IF(L130="gaz",R130*'Założenia,wskaźniki, listy'!$D$45,IF(L130="drewno",R130*'Założenia,wskaźniki, listy'!$E$45,IF(L130="pelet",R130*'Założenia,wskaźniki, listy'!$F$45,IF(L130="olej opałowy",R130*'Założenia,wskaźniki, listy'!$G$45,IF(L130="sieć ciepłownicza",0,IF(L130="prąd",0,0)))))))</f>
        <v>2.1149999999999999E-2</v>
      </c>
      <c r="V130" s="639">
        <f>IF(L130="węgiel",R130*'Założenia,wskaźniki, listy'!$C$46,IF(L130="gaz",R130*'Założenia,wskaźniki, listy'!$D$46,IF(L130="drewno",R130*'Założenia,wskaźniki, listy'!$E$46,IF(L130="pelet",R130*'Założenia,wskaźniki, listy'!$F$46,IF(L130="olej opałowy",R130*'Założenia,wskaźniki, listy'!$G$46,IF(L130="sieć ciepłownicza",R130*'Założenia,wskaźniki, listy'!$H$46,IF(L130="prąd",R130*'Założenia,wskaźniki, listy'!$I$46,0)))))))</f>
        <v>0</v>
      </c>
      <c r="W130" s="639">
        <f>IF(L130="węgiel",R130*'Założenia,wskaźniki, listy'!$C$47,IF(L130="gaz",R130*'Założenia,wskaźniki, listy'!$D$47,IF(L130="drewno",R130*'Założenia,wskaźniki, listy'!$E$47,IF(L130="pelet",R130*'Założenia,wskaźniki, listy'!$F$47,IF(L130="olej opałowy",R130*'Założenia,wskaźniki, listy'!$G$47,IF(L130="sieć ciepłownicza",0,IF(L130="prąd",0,0)))))))</f>
        <v>5.4450000000000004E-6</v>
      </c>
      <c r="X130" s="639">
        <f>IF(L130="węgiel",R130*'Założenia,wskaźniki, listy'!$C$48, IF(L130="gaz",R130*'Założenia,wskaźniki, listy'!$D$48,IF(L130="drewno",R130*'Założenia,wskaźniki, listy'!$E$48,IF(L130="pelet",R130*'Założenia,wskaźniki, listy'!$F$48,IF(L130="olej opałowy",R130*'Założenia,wskaźniki, listy'!$G$48,IF(L130="sieć ciepłownicza",0,IF(L130="prąd",0,0)))))))</f>
        <v>4.95E-4</v>
      </c>
      <c r="Y130" s="639">
        <f>IF(L130="węgiel",R130*'Założenia,wskaźniki, listy'!$C$49, IF(L130="gaz",R130*'Założenia,wskaźniki, listy'!$D$49, IF(L130="drewno",R130*'Założenia,wskaźniki, listy'!$E$49,IF(L130="pelet",R130*'Założenia,wskaźniki, listy'!$F$49,IF(L130="olej opałowy",R130*'Założenia,wskaźniki, listy'!$G$49,IF(L130="sieć ciepłownicza",0,IF(L130="prąd",0,0)))))))</f>
        <v>3.6000000000000003E-3</v>
      </c>
      <c r="Z130" s="639">
        <f>IF(L130="węgiel",R130*'Założenia,wskaźniki, listy'!$C$50,IF(L130="gaz",R130*'Założenia,wskaźniki, listy'!$D$50, IF(L130="drewno",R130*'Założenia,wskaźniki, listy'!$E$50,IF(L130="pelet",R130*'Założenia,wskaźniki, listy'!$F$50,IF(L130="pelet",R130*'Założenia,wskaźniki, listy'!$F$50,IF(L130="olej opałowy",R130*'Założenia,wskaźniki, listy'!$G$50,IF(L130="sieć ciepłownicza",0,IF(L130="prąd",0,0))))))))</f>
        <v>8.0730000000000003E-3</v>
      </c>
      <c r="AA130" s="639">
        <f>IF(N130="węgiel",Q130*'Założenia,wskaźniki, listy'!$C$44,IF(N130="gaz",Q130*'Założenia,wskaźniki, listy'!$D$44,IF(N130="drewno",Q130*'Założenia,wskaźniki, listy'!$E$44,IF(N130="pelet",Q130*'Założenia,wskaźniki, listy'!$G$44,IF(N130="olej opałowy",Q130*'Założenia,wskaźniki, listy'!$G$44,IF(N130="sieć ciepłownicza",0,IF(N130="prąd",0,0)))))))</f>
        <v>0</v>
      </c>
      <c r="AB130" s="639">
        <f>IF(N130="węgiel",Q130*'Założenia,wskaźniki, listy'!$C$45,IF(N130="gaz",Q130*'Założenia,wskaźniki, listy'!$D$45,IF(N130="drewno",Q130*'Założenia,wskaźniki, listy'!$E$45,IF(N130="pelet",Q130*'Założenia,wskaźniki, listy'!$G$45,IF(N130="olej opałowy",Q130*'Założenia,wskaźniki, listy'!$G$45,IF(N130="sieć ciepłownicza",0,IF(N130="prąd",0,0)))))))</f>
        <v>0</v>
      </c>
      <c r="AC130" s="639">
        <f>IF(N130="węgiel",Q130*'Założenia,wskaźniki, listy'!$C$46,IF(N130="gaz",Q130*'Założenia,wskaźniki, listy'!$D$46,IF(N130="drewno",Q130*'Założenia,wskaźniki, listy'!$E$46,IF(N130="pelet",Q130*'Założenia,wskaźniki, listy'!$G$46,IF(N130="olej opałowy",Q130*'Założenia,wskaźniki, listy'!$G$46,IF(N130="sieć ciepłownicza",0,IF(N130="prąd",0,0)))))))</f>
        <v>0</v>
      </c>
      <c r="AD130" s="639">
        <f>IF(N130="węgiel",Q130*'Założenia,wskaźniki, listy'!$C$47,IF(N130="gaz",Q130*'Założenia,wskaźniki, listy'!$D$47,IF(N130="drewno",Q130*'Założenia,wskaźniki, listy'!$E$47,IF(N130="pelet",Q130*'Założenia,wskaźniki, listy'!$G$47,IF(N130="olej opałowy",Q130*'Założenia,wskaźniki, listy'!$G$47,IF(N130="sieć ciepłownicza",0,IF(N130="prąd",0,0)))))))</f>
        <v>0</v>
      </c>
      <c r="AE130" s="639">
        <f>IF(N130="węgiel",Q130*'Założenia,wskaźniki, listy'!$C$48,IF(N130="gaz",Q130*'Założenia,wskaźniki, listy'!$D$48,IF(N130="drewno",Q130*'Założenia,wskaźniki, listy'!$E$48,IF(N130="pelet",Q130*'Założenia,wskaźniki, listy'!$G$48,IF(N130="olej opałowy",Q130*'Założenia,wskaźniki, listy'!$G$48,IF(N130="sieć ciepłownicza",0,IF(N130="prąd",0,0)))))))</f>
        <v>0</v>
      </c>
      <c r="AF130" s="639">
        <f>IF(N130="węgiel",Q130*'Założenia,wskaźniki, listy'!$C$49,IF(N130="gaz",Q130*'Założenia,wskaźniki, listy'!$D$49,IF(N130="drewno",Q130*'Założenia,wskaźniki, listy'!$E$49,IF(N130="pelet",Q130*'Założenia,wskaźniki, listy'!$G$49,IF(N130="olej opałowy",Q130*'Założenia,wskaźniki, listy'!$G$49,IF(N130="sieć ciepłownicza",0,IF(N130="prąd",0,0)))))))</f>
        <v>0</v>
      </c>
      <c r="AG130" s="639">
        <f>IF(N130="węgiel",Q130*'Założenia,wskaźniki, listy'!$C$50,IF(N130="gaz",Q130*'Założenia,wskaźniki, listy'!$D$50,IF(N130="drewno",Q130*'Założenia,wskaźniki, listy'!$E$50,IF(N130="pelet",Q130*'Założenia,wskaźniki, listy'!$G$50,IF(N130="olej opałowy",Q130*'Założenia,wskaźniki, listy'!$G$50,IF(N130="sieć ciepłownicza",0,IF(N130="prąd",0,0)))))))</f>
        <v>0</v>
      </c>
      <c r="AH130" s="640">
        <f>IF(L130="węgiel",(P130+R130)/2*'Założenia,wskaźniki, listy'!$C$4,IF(L130="gaz",(P130+R130)/2*'Założenia,wskaźniki, listy'!$C$5,IF(L130="drewno",(P130+R130)/2*'Założenia,wskaźniki, listy'!$C$6,IF(L130="pelet",(P130+R130)/2*'Założenia,wskaźniki, listy'!$C$7,IF(L130="olej opałowy",(P130+R130)/2*'Założenia,wskaźniki, listy'!$C$8,IF(L130="sieć ciepłownicza",(P130+R130)/2*'Założenia,wskaźniki, listy'!$C$9,IF(L130="sieć ciepłownicza",(P130+R130)/2*'Założenia,wskaźniki, listy'!$C$10,)))))))</f>
        <v>855</v>
      </c>
      <c r="AI130" s="640">
        <f>IF(N130="węgiel",Q130*'Założenia,wskaźniki, listy'!$C$4,IF(N130="gaz",Q130*'Założenia,wskaźniki, listy'!$C$5,IF(N130="drewno",Q130*'Założenia,wskaźniki, listy'!$C$6,IF(N130="pelet",Q130*'Założenia,wskaźniki, listy'!$C$7,IF(N130="olej opałowy",Q130*'Założenia,wskaźniki, listy'!$C$8,IF(N130="sieć ciepłownicza",Q130*'Założenia,wskaźniki, listy'!$C$9,IF(N130="sieć ciepłownicza",Q130*'Założenia,wskaźniki, listy'!$C$10,0)))))))</f>
        <v>0</v>
      </c>
      <c r="AJ130" s="640">
        <f>S130*'Założenia,wskaźniki, listy'!$B$64*1000</f>
        <v>0</v>
      </c>
      <c r="AK130" s="640">
        <f>(H130+I130)*'Założenia,wskaźniki, listy'!$D$64*12</f>
        <v>0</v>
      </c>
      <c r="AL130" s="640">
        <f>AK130*'Założenia,wskaźniki, listy'!$F$64</f>
        <v>0</v>
      </c>
      <c r="AM130" s="639">
        <f t="shared" ref="AM130" si="234">T130+AA130</f>
        <v>2.1600000000000001E-2</v>
      </c>
      <c r="AN130" s="639">
        <f t="shared" ref="AN130" si="235">U130+AB130</f>
        <v>2.1149999999999999E-2</v>
      </c>
      <c r="AO130" s="639">
        <f>V130+AC130+S130*'Założenia,wskaźniki, listy'!$J$46</f>
        <v>0</v>
      </c>
      <c r="AP130" s="639">
        <f t="shared" ref="AP130" si="236">W130+AD130</f>
        <v>5.4450000000000004E-6</v>
      </c>
      <c r="AQ130" s="639">
        <f t="shared" ref="AQ130" si="237">X130+AE130</f>
        <v>4.95E-4</v>
      </c>
      <c r="AR130" s="639">
        <f t="shared" ref="AR130" si="238">Y130+AF130</f>
        <v>3.6000000000000003E-3</v>
      </c>
      <c r="AS130" s="639">
        <f t="shared" ref="AS130" si="239">Z130+AG130</f>
        <v>8.0730000000000003E-3</v>
      </c>
      <c r="AT130" s="647"/>
      <c r="AU130" s="647"/>
      <c r="AV130" s="624">
        <f t="shared" si="135"/>
        <v>0</v>
      </c>
      <c r="AW130" s="624" t="b">
        <f t="shared" si="136"/>
        <v>0</v>
      </c>
      <c r="AX130" s="624" t="b">
        <f t="shared" si="137"/>
        <v>0</v>
      </c>
      <c r="AY130" s="624" t="b">
        <f t="shared" si="138"/>
        <v>0</v>
      </c>
      <c r="AZ130" s="624" t="b">
        <f t="shared" si="139"/>
        <v>0</v>
      </c>
      <c r="BA130" s="624" t="b">
        <f t="shared" si="140"/>
        <v>0</v>
      </c>
      <c r="BB130" s="624" t="b">
        <f t="shared" si="141"/>
        <v>0</v>
      </c>
      <c r="BC130" s="624" t="b">
        <f t="shared" si="142"/>
        <v>0</v>
      </c>
      <c r="BD130" s="624" t="b">
        <f t="shared" si="143"/>
        <v>0</v>
      </c>
      <c r="BE130" s="624" t="b">
        <f t="shared" si="144"/>
        <v>0</v>
      </c>
      <c r="BF130" s="624" t="b">
        <f t="shared" si="145"/>
        <v>0</v>
      </c>
      <c r="BG130" s="624" t="b">
        <f t="shared" si="146"/>
        <v>0</v>
      </c>
      <c r="BH130" s="624">
        <f t="shared" si="147"/>
        <v>45</v>
      </c>
      <c r="BI130" s="624" t="b">
        <f t="shared" si="148"/>
        <v>0</v>
      </c>
      <c r="BJ130" s="624" t="b">
        <f t="shared" si="149"/>
        <v>0</v>
      </c>
      <c r="BK130" s="624" t="b">
        <f t="shared" si="150"/>
        <v>0</v>
      </c>
      <c r="BL130" s="624" t="b">
        <f t="shared" si="151"/>
        <v>0</v>
      </c>
      <c r="BM130" s="624" t="b">
        <f t="shared" si="152"/>
        <v>0</v>
      </c>
      <c r="BN130" s="624" t="b">
        <f t="shared" si="153"/>
        <v>0</v>
      </c>
      <c r="BO130" s="624" t="b">
        <f t="shared" si="154"/>
        <v>0</v>
      </c>
      <c r="BP130" s="624" t="b">
        <f t="shared" si="155"/>
        <v>0</v>
      </c>
      <c r="BQ130" s="624" t="b">
        <f t="shared" si="156"/>
        <v>0</v>
      </c>
    </row>
    <row r="131" spans="1:69">
      <c r="A131" s="1086">
        <v>64</v>
      </c>
      <c r="B131" s="872" t="s">
        <v>21</v>
      </c>
      <c r="C131" s="873" t="s">
        <v>634</v>
      </c>
      <c r="D131" s="645"/>
      <c r="E131" s="645" t="s">
        <v>637</v>
      </c>
      <c r="F131" s="644">
        <v>2004</v>
      </c>
      <c r="G131" s="644">
        <v>140</v>
      </c>
      <c r="H131" s="644"/>
      <c r="I131" s="635"/>
      <c r="J131" s="644">
        <f>IF(F131&lt;=1966,'Założenia,wskaźniki, listy'!$H$4,IF(F131&gt;1966,IF(F131&lt;=1985,'Założenia,wskaźniki, listy'!$H$5,IF(F131&gt;1985,IF(F131&lt;=1992,'Założenia,wskaźniki, listy'!$H$6,IF(F131&gt;1992,IF(F131&lt;=1996,'Założenia,wskaźniki, listy'!$H$7,IF(F131&gt;1996,IF(F131&lt;=2015,'Założenia,wskaźniki, listy'!$H$8)))))))))</f>
        <v>115</v>
      </c>
      <c r="K131" s="864" t="s">
        <v>31</v>
      </c>
      <c r="L131" s="644" t="s">
        <v>8</v>
      </c>
      <c r="M131" s="644">
        <v>2.5</v>
      </c>
      <c r="N131" s="644"/>
      <c r="O131" s="637">
        <f t="shared" ref="O131:O193" si="240">IF(P131&gt;0,(Q131+R131+P131)/2,Q131+R131)</f>
        <v>57.2425</v>
      </c>
      <c r="P131" s="646">
        <f>IF(K131="kompletna",J131*G131*0.0036*'Założenia,wskaźniki, listy'!$P$9,IF(K131="częściowa",J131*G131*0.0036*'Założenia,wskaźniki, listy'!$P$10,IF(K131="brak",J131*G131*0.0036*'Założenia,wskaźniki, listy'!$P$11,0)))</f>
        <v>57.96</v>
      </c>
      <c r="Q131" s="638">
        <f>H131*'Założenia,wskaźniki, listy'!$L$15</f>
        <v>0</v>
      </c>
      <c r="R131" s="635">
        <f>IF(L131="węgiel",'Mieszkalne - baza'!M131*'Założenia,wskaźniki, listy'!$B$4,IF(L131="gaz",'Mieszkalne - baza'!M131*'Założenia,wskaźniki, listy'!$B$5,IF(L131="drewno",'Mieszkalne - baza'!M131*'Założenia,wskaźniki, listy'!$B$6,IF(L131="pelet",'Mieszkalne - baza'!M131*'Założenia,wskaźniki, listy'!$B$7,IF(L131="olej opałowy",'Mieszkalne - baza'!M131*'Założenia,wskaźniki, listy'!$B$8,IF(L131="sieć ciepłownicza",0,0))))))</f>
        <v>56.524999999999999</v>
      </c>
      <c r="S131" s="1084">
        <v>1.6355999999999999</v>
      </c>
      <c r="T131" s="639">
        <f>IF(L131="węgiel",R131*'Założenia,wskaźniki, listy'!$C$44,IF(L131="gaz",R131*'Założenia,wskaźniki, listy'!$D$44,IF(L131="drewno",R131*'Założenia,wskaźniki, listy'!$E$44,IF(L131="pelet",R131*'Założenia,wskaźniki, listy'!$F$44,IF(L131="olej opałowy",R131*'Założenia,wskaźniki, listy'!$G$44,IF(L131="sieć ciepłownicza",0,IF(L131="prąd",0,0)))))))</f>
        <v>1.2718124999999999E-2</v>
      </c>
      <c r="U131" s="639">
        <f>IF(L131="węgiel",R131*'Założenia,wskaźniki, listy'!$C$45,IF(L131="gaz",R131*'Założenia,wskaźniki, listy'!$D$45,IF(L131="drewno",R131*'Założenia,wskaźniki, listy'!$E$45,IF(L131="pelet",R131*'Założenia,wskaźniki, listy'!$F$45,IF(L131="olej opałowy",R131*'Założenia,wskaźniki, listy'!$G$45,IF(L131="sieć ciepłownicza",0,IF(L131="prąd",0,0)))))))</f>
        <v>1.1361525000000001E-2</v>
      </c>
      <c r="V131" s="639">
        <f>IF(L131="węgiel",R131*'Założenia,wskaźniki, listy'!$C$46,IF(L131="gaz",R131*'Założenia,wskaźniki, listy'!$D$46,IF(L131="drewno",R131*'Założenia,wskaźniki, listy'!$E$46,IF(L131="pelet",R131*'Założenia,wskaźniki, listy'!$F$46,IF(L131="olej opałowy",R131*'Założenia,wskaźniki, listy'!$G$46,IF(L131="sieć ciepłownicza",R131*'Założenia,wskaźniki, listy'!$H$46,IF(L131="prąd",R131*'Założenia,wskaźniki, listy'!$I$46,0)))))))</f>
        <v>5.2986534999999995</v>
      </c>
      <c r="W131" s="639">
        <f>IF(L131="węgiel",R131*'Założenia,wskaźniki, listy'!$C$47,IF(L131="gaz",R131*'Założenia,wskaźniki, listy'!$D$47,IF(L131="drewno",R131*'Założenia,wskaźniki, listy'!$E$47,IF(L131="pelet",R131*'Założenia,wskaźniki, listy'!$F$47,IF(L131="olej opałowy",R131*'Założenia,wskaźniki, listy'!$G$47,IF(L131="sieć ciepłownicza",0,IF(L131="prąd",0,0)))))))</f>
        <v>1.526175E-5</v>
      </c>
      <c r="X131" s="639">
        <f>IF(L131="węgiel",R131*'Założenia,wskaźniki, listy'!$C$48, IF(L131="gaz",R131*'Założenia,wskaźniki, listy'!$D$48,IF(L131="drewno",R131*'Założenia,wskaźniki, listy'!$E$48,IF(L131="pelet",R131*'Założenia,wskaźniki, listy'!$F$48,IF(L131="olej opałowy",R131*'Założenia,wskaźniki, listy'!$G$48,IF(L131="sieć ciepłownicza",0,IF(L131="prąd",0,0)))))))</f>
        <v>5.0872499999999994E-2</v>
      </c>
      <c r="Y131" s="639">
        <f>IF(L131="węgiel",R131*'Założenia,wskaźniki, listy'!$C$49, IF(L131="gaz",R131*'Założenia,wskaźniki, listy'!$D$49, IF(L131="drewno",R131*'Założenia,wskaźniki, listy'!$E$49,IF(L131="pelet",R131*'Założenia,wskaźniki, listy'!$F$49,IF(L131="olej opałowy",R131*'Założenia,wskaźniki, listy'!$G$49,IF(L131="sieć ciepłownicza",0,IF(L131="prąd",0,0)))))))</f>
        <v>8.93095E-3</v>
      </c>
      <c r="Z131" s="639">
        <f>IF(L131="węgiel",R131*'Założenia,wskaźniki, listy'!$C$50,IF(L131="gaz",R131*'Założenia,wskaźniki, listy'!$D$50, IF(L131="drewno",R131*'Założenia,wskaźniki, listy'!$E$50,IF(L131="pelet",R131*'Założenia,wskaźniki, listy'!$F$50,IF(L131="pelet",R131*'Założenia,wskaźniki, listy'!$F$50,IF(L131="olej opałowy",R131*'Założenia,wskaźniki, listy'!$G$50,IF(L131="sieć ciepłownicza",0,IF(L131="prąd",0,0))))))))</f>
        <v>0.11370697362539113</v>
      </c>
      <c r="AA131" s="639">
        <f>IF(N131="węgiel",Q131*'Założenia,wskaźniki, listy'!$C$44,IF(N131="gaz",Q131*'Założenia,wskaźniki, listy'!$D$44,IF(N131="drewno",Q131*'Założenia,wskaźniki, listy'!$E$44,IF(N131="pelet",Q131*'Założenia,wskaźniki, listy'!$G$44,IF(N131="olej opałowy",Q131*'Założenia,wskaźniki, listy'!$G$44,IF(N131="sieć ciepłownicza",0,IF(N131="prąd",0,0)))))))</f>
        <v>0</v>
      </c>
      <c r="AB131" s="639">
        <f>IF(N131="węgiel",Q131*'Założenia,wskaźniki, listy'!$C$45,IF(N131="gaz",Q131*'Założenia,wskaźniki, listy'!$D$45,IF(N131="drewno",Q131*'Założenia,wskaźniki, listy'!$E$45,IF(N131="pelet",Q131*'Założenia,wskaźniki, listy'!$G$45,IF(N131="olej opałowy",Q131*'Założenia,wskaźniki, listy'!$G$45,IF(N131="sieć ciepłownicza",0,IF(N131="prąd",0,0)))))))</f>
        <v>0</v>
      </c>
      <c r="AC131" s="639">
        <f>IF(N131="węgiel",Q131*'Założenia,wskaźniki, listy'!$C$46,IF(N131="gaz",Q131*'Założenia,wskaźniki, listy'!$D$46,IF(N131="drewno",Q131*'Założenia,wskaźniki, listy'!$E$46,IF(N131="pelet",Q131*'Założenia,wskaźniki, listy'!$G$46,IF(N131="olej opałowy",Q131*'Założenia,wskaźniki, listy'!$G$46,IF(N131="sieć ciepłownicza",0,IF(N131="prąd",0,0)))))))</f>
        <v>0</v>
      </c>
      <c r="AD131" s="639">
        <f>IF(N131="węgiel",Q131*'Założenia,wskaźniki, listy'!$C$47,IF(N131="gaz",Q131*'Założenia,wskaźniki, listy'!$D$47,IF(N131="drewno",Q131*'Założenia,wskaźniki, listy'!$E$47,IF(N131="pelet",Q131*'Założenia,wskaźniki, listy'!$G$47,IF(N131="olej opałowy",Q131*'Założenia,wskaźniki, listy'!$G$47,IF(N131="sieć ciepłownicza",0,IF(N131="prąd",0,0)))))))</f>
        <v>0</v>
      </c>
      <c r="AE131" s="639">
        <f>IF(N131="węgiel",Q131*'Założenia,wskaźniki, listy'!$C$48,IF(N131="gaz",Q131*'Założenia,wskaźniki, listy'!$D$48,IF(N131="drewno",Q131*'Założenia,wskaźniki, listy'!$E$48,IF(N131="pelet",Q131*'Założenia,wskaźniki, listy'!$G$48,IF(N131="olej opałowy",Q131*'Założenia,wskaźniki, listy'!$G$48,IF(N131="sieć ciepłownicza",0,IF(N131="prąd",0,0)))))))</f>
        <v>0</v>
      </c>
      <c r="AF131" s="639">
        <f>IF(N131="węgiel",Q131*'Założenia,wskaźniki, listy'!$C$49,IF(N131="gaz",Q131*'Założenia,wskaźniki, listy'!$D$49,IF(N131="drewno",Q131*'Założenia,wskaźniki, listy'!$E$49,IF(N131="pelet",Q131*'Założenia,wskaźniki, listy'!$G$49,IF(N131="olej opałowy",Q131*'Założenia,wskaźniki, listy'!$G$49,IF(N131="sieć ciepłownicza",0,IF(N131="prąd",0,0)))))))</f>
        <v>0</v>
      </c>
      <c r="AG131" s="639">
        <f>IF(N131="węgiel",Q131*'Założenia,wskaźniki, listy'!$C$50,IF(N131="gaz",Q131*'Założenia,wskaźniki, listy'!$D$50,IF(N131="drewno",Q131*'Założenia,wskaźniki, listy'!$E$50,IF(N131="pelet",Q131*'Założenia,wskaźniki, listy'!$G$50,IF(N131="olej opałowy",Q131*'Założenia,wskaźniki, listy'!$G$50,IF(N131="sieć ciepłownicza",0,IF(N131="prąd",0,0)))))))</f>
        <v>0</v>
      </c>
      <c r="AH131" s="640">
        <f>IF(L131="węgiel",(P131+R131)/2*'Założenia,wskaźniki, listy'!$C$4,IF(L131="gaz",(P131+R131)/2*'Założenia,wskaźniki, listy'!$C$5,IF(L131="drewno",(P131+R131)/2*'Założenia,wskaźniki, listy'!$C$6,IF(L131="pelet",(P131+R131)/2*'Założenia,wskaźniki, listy'!$C$7,IF(L131="olej opałowy",(P131+R131)/2*'Założenia,wskaźniki, listy'!$C$8,IF(L131="sieć ciepłownicza",(P131+R131)/2*'Założenia,wskaźniki, listy'!$C$9,IF(L131="sieć ciepłownicza",(P131+R131)/2*'Założenia,wskaźniki, listy'!$C$10,)))))))</f>
        <v>2346.9425000000001</v>
      </c>
      <c r="AI131" s="640">
        <f>IF(N131="węgiel",Q131*'Założenia,wskaźniki, listy'!$C$4,IF(N131="gaz",Q131*'Założenia,wskaźniki, listy'!$C$5,IF(N131="drewno",Q131*'Założenia,wskaźniki, listy'!$C$6,IF(N131="pelet",Q131*'Założenia,wskaźniki, listy'!$C$7,IF(N131="olej opałowy",Q131*'Założenia,wskaźniki, listy'!$C$8,IF(N131="sieć ciepłownicza",Q131*'Założenia,wskaźniki, listy'!$C$9,IF(N131="sieć ciepłownicza",Q131*'Założenia,wskaźniki, listy'!$C$10,0)))))))</f>
        <v>0</v>
      </c>
      <c r="AJ131" s="640">
        <f>S131*'Założenia,wskaźniki, listy'!$B$64*1000</f>
        <v>1161.2760000000001</v>
      </c>
      <c r="AK131" s="640">
        <f>(H131+I131)*'Założenia,wskaźniki, listy'!$D$64*12</f>
        <v>0</v>
      </c>
      <c r="AL131" s="640">
        <f>AK131*'Założenia,wskaźniki, listy'!$F$64</f>
        <v>0</v>
      </c>
      <c r="AM131" s="639">
        <f t="shared" si="206"/>
        <v>1.2718124999999999E-2</v>
      </c>
      <c r="AN131" s="639">
        <f t="shared" si="207"/>
        <v>1.1361525000000001E-2</v>
      </c>
      <c r="AO131" s="639">
        <f>V131+AC131+S131*'Założenia,wskaźniki, listy'!$J$46</f>
        <v>6.6586548999999993</v>
      </c>
      <c r="AP131" s="639">
        <f t="shared" si="208"/>
        <v>1.526175E-5</v>
      </c>
      <c r="AQ131" s="639">
        <f t="shared" si="209"/>
        <v>5.0872499999999994E-2</v>
      </c>
      <c r="AR131" s="639">
        <f t="shared" si="210"/>
        <v>8.93095E-3</v>
      </c>
      <c r="AS131" s="639">
        <f t="shared" si="211"/>
        <v>0.11370697362539113</v>
      </c>
      <c r="AT131" s="647"/>
      <c r="AU131" s="647"/>
      <c r="AV131" s="624" t="b">
        <f t="shared" si="135"/>
        <v>0</v>
      </c>
      <c r="AW131" s="624" t="b">
        <f t="shared" si="136"/>
        <v>0</v>
      </c>
      <c r="AX131" s="624" t="b">
        <f t="shared" si="137"/>
        <v>0</v>
      </c>
      <c r="AY131" s="624" t="b">
        <f t="shared" si="138"/>
        <v>0</v>
      </c>
      <c r="AZ131" s="624" t="b">
        <f t="shared" si="139"/>
        <v>0</v>
      </c>
      <c r="BA131" s="624" t="b">
        <f t="shared" si="140"/>
        <v>0</v>
      </c>
      <c r="BB131" s="624" t="b">
        <f t="shared" si="141"/>
        <v>0</v>
      </c>
      <c r="BC131" s="624" t="b">
        <f t="shared" si="142"/>
        <v>0</v>
      </c>
      <c r="BD131" s="624">
        <f t="shared" si="143"/>
        <v>140</v>
      </c>
      <c r="BE131" s="624" t="b">
        <f t="shared" si="144"/>
        <v>0</v>
      </c>
      <c r="BF131" s="624">
        <f t="shared" si="145"/>
        <v>56.524999999999999</v>
      </c>
      <c r="BG131" s="624" t="b">
        <f t="shared" si="146"/>
        <v>0</v>
      </c>
      <c r="BH131" s="624" t="b">
        <f t="shared" si="147"/>
        <v>0</v>
      </c>
      <c r="BI131" s="624" t="b">
        <f t="shared" si="148"/>
        <v>0</v>
      </c>
      <c r="BJ131" s="624" t="b">
        <f t="shared" si="149"/>
        <v>0</v>
      </c>
      <c r="BK131" s="624" t="b">
        <f t="shared" si="150"/>
        <v>0</v>
      </c>
      <c r="BL131" s="624" t="b">
        <f t="shared" si="151"/>
        <v>0</v>
      </c>
      <c r="BM131" s="624" t="b">
        <f t="shared" si="152"/>
        <v>0</v>
      </c>
      <c r="BN131" s="624" t="b">
        <f t="shared" si="153"/>
        <v>0</v>
      </c>
      <c r="BO131" s="624" t="b">
        <f t="shared" si="154"/>
        <v>0</v>
      </c>
      <c r="BP131" s="624" t="b">
        <f t="shared" si="155"/>
        <v>0</v>
      </c>
      <c r="BQ131" s="624" t="b">
        <f t="shared" si="156"/>
        <v>0</v>
      </c>
    </row>
    <row r="132" spans="1:69" ht="8.25" customHeight="1">
      <c r="A132" s="1087"/>
      <c r="B132" s="872"/>
      <c r="C132" s="872"/>
      <c r="D132" s="645"/>
      <c r="E132" s="645"/>
      <c r="F132" s="644"/>
      <c r="G132" s="644"/>
      <c r="H132" s="644"/>
      <c r="I132" s="635"/>
      <c r="J132" s="644">
        <f>IF(F132&lt;=1966,'Założenia,wskaźniki, listy'!$H$4,IF(F132&gt;1966,IF(F132&lt;=1985,'Założenia,wskaźniki, listy'!$H$5,IF(F132&gt;1985,IF(F132&lt;=1992,'Założenia,wskaźniki, listy'!$H$6,IF(F132&gt;1992,IF(F132&lt;=1996,'Założenia,wskaźniki, listy'!$H$7,IF(F132&gt;1996,IF(F132&lt;=2015,'Założenia,wskaźniki, listy'!$H$8)))))))))</f>
        <v>290</v>
      </c>
      <c r="K132" s="872"/>
      <c r="L132" s="644"/>
      <c r="M132" s="644"/>
      <c r="N132" s="644"/>
      <c r="O132" s="637">
        <f t="shared" si="240"/>
        <v>0</v>
      </c>
      <c r="P132" s="646">
        <f>IF(K132="kompletna",J132*G132*0.0036*'Założenia,wskaźniki, listy'!$P$9,IF(K132="częściowa",J132*G132*0.0036*'Założenia,wskaźniki, listy'!$P$10,IF(K132="brak",J132*G132*0.0036*'Założenia,wskaźniki, listy'!$P$11,0)))</f>
        <v>0</v>
      </c>
      <c r="Q132" s="638">
        <f>H132*'Założenia,wskaźniki, listy'!$L$15</f>
        <v>0</v>
      </c>
      <c r="R132" s="635">
        <f>IF(L132="węgiel",'Mieszkalne - baza'!M132*'Założenia,wskaźniki, listy'!$B$4,IF(L132="gaz",'Mieszkalne - baza'!M132*'Założenia,wskaźniki, listy'!$B$5,IF(L132="drewno",'Mieszkalne - baza'!M132*'Założenia,wskaźniki, listy'!$B$6,IF(L132="pelet",'Mieszkalne - baza'!M132*'Założenia,wskaźniki, listy'!$B$7,IF(L132="olej opałowy",'Mieszkalne - baza'!M132*'Założenia,wskaźniki, listy'!$B$8,IF(L132="sieć ciepłownicza",0,0))))))</f>
        <v>0</v>
      </c>
      <c r="S132" s="1085"/>
      <c r="T132" s="639">
        <f>IF(L132="węgiel",R132*'Założenia,wskaźniki, listy'!$C$44,IF(L132="gaz",R132*'Założenia,wskaźniki, listy'!$D$44,IF(L132="drewno",R132*'Założenia,wskaźniki, listy'!$E$44,IF(L132="pelet",R132*'Założenia,wskaźniki, listy'!$F$44,IF(L132="olej opałowy",R132*'Założenia,wskaźniki, listy'!$G$44,IF(L132="sieć ciepłownicza",0,IF(L132="prąd",0,0)))))))</f>
        <v>0</v>
      </c>
      <c r="U132" s="639">
        <f>IF(L132="węgiel",R132*'Założenia,wskaźniki, listy'!$C$45,IF(L132="gaz",R132*'Założenia,wskaźniki, listy'!$D$45,IF(L132="drewno",R132*'Założenia,wskaźniki, listy'!$E$45,IF(L132="pelet",R132*'Założenia,wskaźniki, listy'!$F$45,IF(L132="olej opałowy",R132*'Założenia,wskaźniki, listy'!$G$45,IF(L132="sieć ciepłownicza",0,IF(L132="prąd",0,0)))))))</f>
        <v>0</v>
      </c>
      <c r="V132" s="639">
        <f>IF(L132="węgiel",R132*'Założenia,wskaźniki, listy'!$C$46,IF(L132="gaz",R132*'Założenia,wskaźniki, listy'!$D$46,IF(L132="drewno",R132*'Założenia,wskaźniki, listy'!$E$46,IF(L132="pelet",R132*'Założenia,wskaźniki, listy'!$F$46,IF(L132="olej opałowy",R132*'Założenia,wskaźniki, listy'!$G$46,IF(L132="sieć ciepłownicza",R132*'Założenia,wskaźniki, listy'!$H$46,IF(L132="prąd",R132*'Założenia,wskaźniki, listy'!$I$46,0)))))))</f>
        <v>0</v>
      </c>
      <c r="W132" s="639">
        <f>IF(L132="węgiel",R132*'Założenia,wskaźniki, listy'!$C$47,IF(L132="gaz",R132*'Założenia,wskaźniki, listy'!$D$47,IF(L132="drewno",R132*'Założenia,wskaźniki, listy'!$E$47,IF(L132="pelet",R132*'Założenia,wskaźniki, listy'!$F$47,IF(L132="olej opałowy",R132*'Założenia,wskaźniki, listy'!$G$47,IF(L132="sieć ciepłownicza",0,IF(L132="prąd",0,0)))))))</f>
        <v>0</v>
      </c>
      <c r="X132" s="639">
        <f>IF(L132="węgiel",R132*'Założenia,wskaźniki, listy'!$C$48, IF(L132="gaz",R132*'Założenia,wskaźniki, listy'!$D$48,IF(L132="drewno",R132*'Założenia,wskaźniki, listy'!$E$48,IF(L132="pelet",R132*'Założenia,wskaźniki, listy'!$F$48,IF(L132="olej opałowy",R132*'Założenia,wskaźniki, listy'!$G$48,IF(L132="sieć ciepłownicza",0,IF(L132="prąd",0,0)))))))</f>
        <v>0</v>
      </c>
      <c r="Y132" s="639">
        <f>IF(L132="węgiel",R132*'Założenia,wskaźniki, listy'!$C$49, IF(L132="gaz",R132*'Założenia,wskaźniki, listy'!$D$49, IF(L132="drewno",R132*'Założenia,wskaźniki, listy'!$E$49,IF(L132="pelet",R132*'Założenia,wskaźniki, listy'!$F$49,IF(L132="olej opałowy",R132*'Założenia,wskaźniki, listy'!$G$49,IF(L132="sieć ciepłownicza",0,IF(L132="prąd",0,0)))))))</f>
        <v>0</v>
      </c>
      <c r="Z132" s="639">
        <f>IF(L132="węgiel",R132*'Założenia,wskaźniki, listy'!$C$50,IF(L132="gaz",R132*'Założenia,wskaźniki, listy'!$D$50, IF(L132="drewno",R132*'Założenia,wskaźniki, listy'!$E$50,IF(L132="pelet",R132*'Założenia,wskaźniki, listy'!$F$50,IF(L132="pelet",R132*'Założenia,wskaźniki, listy'!$F$50,IF(L132="olej opałowy",R132*'Założenia,wskaźniki, listy'!$G$50,IF(L132="sieć ciepłownicza",0,IF(L132="prąd",0,0))))))))</f>
        <v>0</v>
      </c>
      <c r="AA132" s="639">
        <f>IF(N132="węgiel",Q132*'Założenia,wskaźniki, listy'!$C$44,IF(N132="gaz",Q132*'Założenia,wskaźniki, listy'!$D$44,IF(N132="drewno",Q132*'Założenia,wskaźniki, listy'!$E$44,IF(N132="pelet",Q132*'Założenia,wskaźniki, listy'!$G$44,IF(N132="olej opałowy",Q132*'Założenia,wskaźniki, listy'!$G$44,IF(N132="sieć ciepłownicza",0,IF(N132="prąd",0,0)))))))</f>
        <v>0</v>
      </c>
      <c r="AB132" s="639">
        <f>IF(N132="węgiel",Q132*'Założenia,wskaźniki, listy'!$C$45,IF(N132="gaz",Q132*'Założenia,wskaźniki, listy'!$D$45,IF(N132="drewno",Q132*'Założenia,wskaźniki, listy'!$E$45,IF(N132="pelet",Q132*'Założenia,wskaźniki, listy'!$G$45,IF(N132="olej opałowy",Q132*'Założenia,wskaźniki, listy'!$G$45,IF(N132="sieć ciepłownicza",0,IF(N132="prąd",0,0)))))))</f>
        <v>0</v>
      </c>
      <c r="AC132" s="639">
        <f>IF(N132="węgiel",Q132*'Założenia,wskaźniki, listy'!$C$46,IF(N132="gaz",Q132*'Założenia,wskaźniki, listy'!$D$46,IF(N132="drewno",Q132*'Założenia,wskaźniki, listy'!$E$46,IF(N132="pelet",Q132*'Założenia,wskaźniki, listy'!$G$46,IF(N132="olej opałowy",Q132*'Założenia,wskaźniki, listy'!$G$46,IF(N132="sieć ciepłownicza",0,IF(N132="prąd",0,0)))))))</f>
        <v>0</v>
      </c>
      <c r="AD132" s="639">
        <f>IF(N132="węgiel",Q132*'Założenia,wskaźniki, listy'!$C$47,IF(N132="gaz",Q132*'Założenia,wskaźniki, listy'!$D$47,IF(N132="drewno",Q132*'Założenia,wskaźniki, listy'!$E$47,IF(N132="pelet",Q132*'Założenia,wskaźniki, listy'!$G$47,IF(N132="olej opałowy",Q132*'Założenia,wskaźniki, listy'!$G$47,IF(N132="sieć ciepłownicza",0,IF(N132="prąd",0,0)))))))</f>
        <v>0</v>
      </c>
      <c r="AE132" s="639">
        <f>IF(N132="węgiel",Q132*'Założenia,wskaźniki, listy'!$C$48,IF(N132="gaz",Q132*'Założenia,wskaźniki, listy'!$D$48,IF(N132="drewno",Q132*'Założenia,wskaźniki, listy'!$E$48,IF(N132="pelet",Q132*'Założenia,wskaźniki, listy'!$G$48,IF(N132="olej opałowy",Q132*'Założenia,wskaźniki, listy'!$G$48,IF(N132="sieć ciepłownicza",0,IF(N132="prąd",0,0)))))))</f>
        <v>0</v>
      </c>
      <c r="AF132" s="639">
        <f>IF(N132="węgiel",Q132*'Założenia,wskaźniki, listy'!$C$49,IF(N132="gaz",Q132*'Założenia,wskaźniki, listy'!$D$49,IF(N132="drewno",Q132*'Założenia,wskaźniki, listy'!$E$49,IF(N132="pelet",Q132*'Założenia,wskaźniki, listy'!$G$49,IF(N132="olej opałowy",Q132*'Założenia,wskaźniki, listy'!$G$49,IF(N132="sieć ciepłownicza",0,IF(N132="prąd",0,0)))))))</f>
        <v>0</v>
      </c>
      <c r="AG132" s="639">
        <f>IF(N132="węgiel",Q132*'Założenia,wskaźniki, listy'!$C$50,IF(N132="gaz",Q132*'Założenia,wskaźniki, listy'!$D$50,IF(N132="drewno",Q132*'Założenia,wskaźniki, listy'!$E$50,IF(N132="pelet",Q132*'Założenia,wskaźniki, listy'!$G$50,IF(N132="olej opałowy",Q132*'Założenia,wskaźniki, listy'!$G$50,IF(N132="sieć ciepłownicza",0,IF(N132="prąd",0,0)))))))</f>
        <v>0</v>
      </c>
      <c r="AH132" s="640">
        <f>IF(L132="węgiel",(P132+R132)/2*'Założenia,wskaźniki, listy'!$C$4,IF(L132="gaz",(P132+R132)/2*'Założenia,wskaźniki, listy'!$C$5,IF(L132="drewno",(P132+R132)/2*'Założenia,wskaźniki, listy'!$C$6,IF(L132="pelet",(P132+R132)/2*'Założenia,wskaźniki, listy'!$C$7,IF(L132="olej opałowy",(P132+R132)/2*'Założenia,wskaźniki, listy'!$C$8,IF(L132="sieć ciepłownicza",(P132+R132)/2*'Założenia,wskaźniki, listy'!$C$9,IF(L132="sieć ciepłownicza",(P132+R132)/2*'Założenia,wskaźniki, listy'!$C$10,)))))))</f>
        <v>0</v>
      </c>
      <c r="AI132" s="640">
        <f>IF(N132="węgiel",Q132*'Założenia,wskaźniki, listy'!$C$4,IF(N132="gaz",Q132*'Założenia,wskaźniki, listy'!$C$5,IF(N132="drewno",Q132*'Założenia,wskaźniki, listy'!$C$6,IF(N132="pelet",Q132*'Założenia,wskaźniki, listy'!$C$7,IF(N132="olej opałowy",Q132*'Założenia,wskaźniki, listy'!$C$8,IF(N132="sieć ciepłownicza",Q132*'Założenia,wskaźniki, listy'!$C$9,IF(N132="sieć ciepłownicza",Q132*'Założenia,wskaźniki, listy'!$C$10,0)))))))</f>
        <v>0</v>
      </c>
      <c r="AJ132" s="640">
        <f>S132*'Założenia,wskaźniki, listy'!$B$64*1000</f>
        <v>0</v>
      </c>
      <c r="AK132" s="640">
        <f>(H132+I132)*'Założenia,wskaźniki, listy'!$D$64*12</f>
        <v>0</v>
      </c>
      <c r="AL132" s="640">
        <f>AK132*'Założenia,wskaźniki, listy'!$F$64</f>
        <v>0</v>
      </c>
      <c r="AM132" s="639">
        <f t="shared" si="206"/>
        <v>0</v>
      </c>
      <c r="AN132" s="639">
        <f t="shared" si="207"/>
        <v>0</v>
      </c>
      <c r="AO132" s="639">
        <f>V132+AC132+S132*'Założenia,wskaźniki, listy'!$J$46</f>
        <v>0</v>
      </c>
      <c r="AP132" s="639">
        <f t="shared" si="208"/>
        <v>0</v>
      </c>
      <c r="AQ132" s="639">
        <f t="shared" si="209"/>
        <v>0</v>
      </c>
      <c r="AR132" s="639">
        <f t="shared" si="210"/>
        <v>0</v>
      </c>
      <c r="AS132" s="639">
        <f t="shared" si="211"/>
        <v>0</v>
      </c>
      <c r="AT132" s="647"/>
      <c r="AU132" s="647"/>
      <c r="AV132" s="624">
        <f t="shared" ref="AV132:AV195" si="241">IF(F132&lt;=1966,G132)</f>
        <v>0</v>
      </c>
      <c r="AW132" s="624" t="b">
        <f t="shared" ref="AW132:AW195" si="242">IF(K132="kompletna",AV132,IF(K132="częściowa",0.5*AV132))</f>
        <v>0</v>
      </c>
      <c r="AX132" s="624" t="b">
        <f t="shared" ref="AX132:AX195" si="243">IF(F132&gt;1966,IF(F132&lt;=1985,G132))</f>
        <v>0</v>
      </c>
      <c r="AY132" s="624" t="b">
        <f t="shared" ref="AY132:AY195" si="244">IF(K132="kompletna",AX132,IF(K132="częściowa",0.5*AX132))</f>
        <v>0</v>
      </c>
      <c r="AZ132" s="624" t="b">
        <f t="shared" ref="AZ132:AZ195" si="245">IF(F132&gt;1985,IF(F132&lt;=1992,G132))</f>
        <v>0</v>
      </c>
      <c r="BA132" s="624" t="b">
        <f t="shared" ref="BA132:BA195" si="246">IF(K132="kompletna",AZ132,IF(K132="częściowa",0.5*AZ132))</f>
        <v>0</v>
      </c>
      <c r="BB132" s="624" t="b">
        <f t="shared" ref="BB132:BB195" si="247">IF(F132&gt;1992,IF(F132&lt;=1996,G132))</f>
        <v>0</v>
      </c>
      <c r="BC132" s="624" t="b">
        <f t="shared" ref="BC132:BC195" si="248">IF(K132="kompletna",BB132,IF(K132="częściowa",0.5*BB132))</f>
        <v>0</v>
      </c>
      <c r="BD132" s="624" t="b">
        <f t="shared" ref="BD132:BD195" si="249">IF(F132&gt;1996,IF(F132&lt;=2014,G132))</f>
        <v>0</v>
      </c>
      <c r="BE132" s="624" t="b">
        <f t="shared" ref="BE132:BE195" si="250">IF(K132="kompletna",BD132,IF(K132="częściowa",0.5*BD132))</f>
        <v>0</v>
      </c>
      <c r="BF132" s="624" t="b">
        <f t="shared" ref="BF132:BF195" si="251">IF(L132="węgiel",R132)</f>
        <v>0</v>
      </c>
      <c r="BG132" s="624" t="b">
        <f t="shared" ref="BG132:BG195" si="252">IF(L132="gaz",R132)</f>
        <v>0</v>
      </c>
      <c r="BH132" s="624" t="b">
        <f t="shared" ref="BH132:BH195" si="253">IF(L132="drewno",R132)</f>
        <v>0</v>
      </c>
      <c r="BI132" s="624" t="b">
        <f t="shared" ref="BI132:BI195" si="254">IF(L132="pelet",R132)</f>
        <v>0</v>
      </c>
      <c r="BJ132" s="624" t="b">
        <f t="shared" ref="BJ132:BJ195" si="255">IF(L132="olej opałowy",R132)</f>
        <v>0</v>
      </c>
      <c r="BK132" s="624" t="b">
        <f t="shared" ref="BK132:BK195" si="256">IF(L132="energia el.",R132)</f>
        <v>0</v>
      </c>
      <c r="BL132" s="624" t="b">
        <f t="shared" ref="BL132:BL195" si="257">IF(N132="węgiel",Q132)</f>
        <v>0</v>
      </c>
      <c r="BM132" s="624" t="b">
        <f t="shared" ref="BM132:BM195" si="258">IF(N132="gaz",Q132)</f>
        <v>0</v>
      </c>
      <c r="BN132" s="624" t="b">
        <f t="shared" ref="BN132:BN195" si="259">IF(N132="drewno",Q132)</f>
        <v>0</v>
      </c>
      <c r="BO132" s="624" t="b">
        <f t="shared" ref="BO132:BO195" si="260">IF(N132="pelet",Q132)</f>
        <v>0</v>
      </c>
      <c r="BP132" s="624" t="b">
        <f t="shared" ref="BP132:BP195" si="261">IF(N132="olej opałowy",Q132)</f>
        <v>0</v>
      </c>
      <c r="BQ132" s="624" t="b">
        <f t="shared" ref="BQ132:BQ195" si="262">IF(N132="energia el.",Q132)</f>
        <v>0</v>
      </c>
    </row>
    <row r="133" spans="1:69">
      <c r="A133" s="1086">
        <v>65</v>
      </c>
      <c r="B133" s="872" t="s">
        <v>21</v>
      </c>
      <c r="C133" s="873" t="s">
        <v>634</v>
      </c>
      <c r="D133" s="645"/>
      <c r="E133" s="645">
        <v>16</v>
      </c>
      <c r="F133" s="644">
        <v>1970</v>
      </c>
      <c r="G133" s="644">
        <v>80</v>
      </c>
      <c r="H133" s="644"/>
      <c r="I133" s="635"/>
      <c r="J133" s="644">
        <f>IF(F133&lt;=1966,'Założenia,wskaźniki, listy'!$H$4,IF(F133&gt;1966,IF(F133&lt;=1985,'Założenia,wskaźniki, listy'!$H$5,IF(F133&gt;1985,IF(F133&lt;=1992,'Założenia,wskaźniki, listy'!$H$6,IF(F133&gt;1992,IF(F133&lt;=1996,'Założenia,wskaźniki, listy'!$H$7,IF(F133&gt;1996,IF(F133&lt;=2015,'Założenia,wskaźniki, listy'!$H$8)))))))))</f>
        <v>250</v>
      </c>
      <c r="K133" s="864" t="s">
        <v>33</v>
      </c>
      <c r="L133" s="644" t="s">
        <v>8</v>
      </c>
      <c r="M133" s="644">
        <v>2</v>
      </c>
      <c r="N133" s="644"/>
      <c r="O133" s="637">
        <f t="shared" si="240"/>
        <v>51.41</v>
      </c>
      <c r="P133" s="646">
        <f>IF(K133="kompletna",J133*G133*0.0036*'Założenia,wskaźniki, listy'!$P$9,IF(K133="częściowa",J133*G133*0.0036*'Założenia,wskaźniki, listy'!$P$10,IF(K133="brak",J133*G133*0.0036*'Założenia,wskaźniki, listy'!$P$11,0)))</f>
        <v>57.6</v>
      </c>
      <c r="Q133" s="638">
        <f>H133*'Założenia,wskaźniki, listy'!$L$15</f>
        <v>0</v>
      </c>
      <c r="R133" s="635">
        <f>IF(L133="węgiel",'Mieszkalne - baza'!M133*'Założenia,wskaźniki, listy'!$B$4,IF(L133="gaz",'Mieszkalne - baza'!M133*'Założenia,wskaźniki, listy'!$B$5,IF(L133="drewno",'Mieszkalne - baza'!M133*'Założenia,wskaźniki, listy'!$B$6,IF(L133="pelet",'Mieszkalne - baza'!M133*'Założenia,wskaźniki, listy'!$B$7,IF(L133="olej opałowy",'Mieszkalne - baza'!M133*'Założenia,wskaźniki, listy'!$B$8,IF(L133="sieć ciepłownicza",0,0))))))</f>
        <v>45.22</v>
      </c>
      <c r="S133" s="1084">
        <v>1.9176</v>
      </c>
      <c r="T133" s="639">
        <f>IF(L133="węgiel",R133*'Założenia,wskaźniki, listy'!$C$44,IF(L133="gaz",R133*'Założenia,wskaźniki, listy'!$D$44,IF(L133="drewno",R133*'Założenia,wskaźniki, listy'!$E$44,IF(L133="pelet",R133*'Założenia,wskaźniki, listy'!$F$44,IF(L133="olej opałowy",R133*'Założenia,wskaźniki, listy'!$G$44,IF(L133="sieć ciepłownicza",0,IF(L133="prąd",0,0)))))))</f>
        <v>1.01745E-2</v>
      </c>
      <c r="U133" s="639">
        <f>IF(L133="węgiel",R133*'Założenia,wskaźniki, listy'!$C$45,IF(L133="gaz",R133*'Założenia,wskaźniki, listy'!$D$45,IF(L133="drewno",R133*'Założenia,wskaźniki, listy'!$E$45,IF(L133="pelet",R133*'Założenia,wskaźniki, listy'!$F$45,IF(L133="olej opałowy",R133*'Założenia,wskaźniki, listy'!$G$45,IF(L133="sieć ciepłownicza",0,IF(L133="prąd",0,0)))))))</f>
        <v>9.0892200000000003E-3</v>
      </c>
      <c r="V133" s="639">
        <f>IF(L133="węgiel",R133*'Założenia,wskaźniki, listy'!$C$46,IF(L133="gaz",R133*'Założenia,wskaźniki, listy'!$D$46,IF(L133="drewno",R133*'Założenia,wskaźniki, listy'!$E$46,IF(L133="pelet",R133*'Założenia,wskaźniki, listy'!$F$46,IF(L133="olej opałowy",R133*'Założenia,wskaźniki, listy'!$G$46,IF(L133="sieć ciepłownicza",R133*'Założenia,wskaźniki, listy'!$H$46,IF(L133="prąd",R133*'Założenia,wskaźniki, listy'!$I$46,0)))))))</f>
        <v>4.2389227999999992</v>
      </c>
      <c r="W133" s="639">
        <f>IF(L133="węgiel",R133*'Założenia,wskaźniki, listy'!$C$47,IF(L133="gaz",R133*'Założenia,wskaźniki, listy'!$D$47,IF(L133="drewno",R133*'Założenia,wskaźniki, listy'!$E$47,IF(L133="pelet",R133*'Założenia,wskaźniki, listy'!$F$47,IF(L133="olej opałowy",R133*'Założenia,wskaźniki, listy'!$G$47,IF(L133="sieć ciepłownicza",0,IF(L133="prąd",0,0)))))))</f>
        <v>1.22094E-5</v>
      </c>
      <c r="X133" s="639">
        <f>IF(L133="węgiel",R133*'Założenia,wskaźniki, listy'!$C$48, IF(L133="gaz",R133*'Założenia,wskaźniki, listy'!$D$48,IF(L133="drewno",R133*'Założenia,wskaźniki, listy'!$E$48,IF(L133="pelet",R133*'Założenia,wskaźniki, listy'!$F$48,IF(L133="olej opałowy",R133*'Założenia,wskaźniki, listy'!$G$48,IF(L133="sieć ciepłownicza",0,IF(L133="prąd",0,0)))))))</f>
        <v>4.0697999999999998E-2</v>
      </c>
      <c r="Y133" s="639">
        <f>IF(L133="węgiel",R133*'Założenia,wskaźniki, listy'!$C$49, IF(L133="gaz",R133*'Założenia,wskaźniki, listy'!$D$49, IF(L133="drewno",R133*'Założenia,wskaźniki, listy'!$E$49,IF(L133="pelet",R133*'Założenia,wskaźniki, listy'!$F$49,IF(L133="olej opałowy",R133*'Założenia,wskaźniki, listy'!$G$49,IF(L133="sieć ciepłownicza",0,IF(L133="prąd",0,0)))))))</f>
        <v>7.1447599999999991E-3</v>
      </c>
      <c r="Z133" s="639">
        <f>IF(L133="węgiel",R133*'Założenia,wskaźniki, listy'!$C$50,IF(L133="gaz",R133*'Założenia,wskaźniki, listy'!$D$50, IF(L133="drewno",R133*'Założenia,wskaźniki, listy'!$E$50,IF(L133="pelet",R133*'Założenia,wskaźniki, listy'!$F$50,IF(L133="pelet",R133*'Założenia,wskaźniki, listy'!$F$50,IF(L133="olej opałowy",R133*'Założenia,wskaźniki, listy'!$G$50,IF(L133="sieć ciepłownicza",0,IF(L133="prąd",0,0))))))))</f>
        <v>9.0965578900312913E-2</v>
      </c>
      <c r="AA133" s="639">
        <f>IF(N133="węgiel",Q133*'Założenia,wskaźniki, listy'!$C$44,IF(N133="gaz",Q133*'Założenia,wskaźniki, listy'!$D$44,IF(N133="drewno",Q133*'Założenia,wskaźniki, listy'!$E$44,IF(N133="pelet",Q133*'Założenia,wskaźniki, listy'!$G$44,IF(N133="olej opałowy",Q133*'Założenia,wskaźniki, listy'!$G$44,IF(N133="sieć ciepłownicza",0,IF(N133="prąd",0,0)))))))</f>
        <v>0</v>
      </c>
      <c r="AB133" s="639">
        <f>IF(N133="węgiel",Q133*'Założenia,wskaźniki, listy'!$C$45,IF(N133="gaz",Q133*'Założenia,wskaźniki, listy'!$D$45,IF(N133="drewno",Q133*'Założenia,wskaźniki, listy'!$E$45,IF(N133="pelet",Q133*'Założenia,wskaźniki, listy'!$G$45,IF(N133="olej opałowy",Q133*'Założenia,wskaźniki, listy'!$G$45,IF(N133="sieć ciepłownicza",0,IF(N133="prąd",0,0)))))))</f>
        <v>0</v>
      </c>
      <c r="AC133" s="639">
        <f>IF(N133="węgiel",Q133*'Założenia,wskaźniki, listy'!$C$46,IF(N133="gaz",Q133*'Założenia,wskaźniki, listy'!$D$46,IF(N133="drewno",Q133*'Założenia,wskaźniki, listy'!$E$46,IF(N133="pelet",Q133*'Założenia,wskaźniki, listy'!$G$46,IF(N133="olej opałowy",Q133*'Założenia,wskaźniki, listy'!$G$46,IF(N133="sieć ciepłownicza",0,IF(N133="prąd",0,0)))))))</f>
        <v>0</v>
      </c>
      <c r="AD133" s="639">
        <f>IF(N133="węgiel",Q133*'Założenia,wskaźniki, listy'!$C$47,IF(N133="gaz",Q133*'Założenia,wskaźniki, listy'!$D$47,IF(N133="drewno",Q133*'Założenia,wskaźniki, listy'!$E$47,IF(N133="pelet",Q133*'Założenia,wskaźniki, listy'!$G$47,IF(N133="olej opałowy",Q133*'Założenia,wskaźniki, listy'!$G$47,IF(N133="sieć ciepłownicza",0,IF(N133="prąd",0,0)))))))</f>
        <v>0</v>
      </c>
      <c r="AE133" s="639">
        <f>IF(N133="węgiel",Q133*'Założenia,wskaźniki, listy'!$C$48,IF(N133="gaz",Q133*'Założenia,wskaźniki, listy'!$D$48,IF(N133="drewno",Q133*'Założenia,wskaźniki, listy'!$E$48,IF(N133="pelet",Q133*'Założenia,wskaźniki, listy'!$G$48,IF(N133="olej opałowy",Q133*'Założenia,wskaźniki, listy'!$G$48,IF(N133="sieć ciepłownicza",0,IF(N133="prąd",0,0)))))))</f>
        <v>0</v>
      </c>
      <c r="AF133" s="639">
        <f>IF(N133="węgiel",Q133*'Założenia,wskaźniki, listy'!$C$49,IF(N133="gaz",Q133*'Założenia,wskaźniki, listy'!$D$49,IF(N133="drewno",Q133*'Założenia,wskaźniki, listy'!$E$49,IF(N133="pelet",Q133*'Założenia,wskaźniki, listy'!$G$49,IF(N133="olej opałowy",Q133*'Założenia,wskaźniki, listy'!$G$49,IF(N133="sieć ciepłownicza",0,IF(N133="prąd",0,0)))))))</f>
        <v>0</v>
      </c>
      <c r="AG133" s="639">
        <f>IF(N133="węgiel",Q133*'Założenia,wskaźniki, listy'!$C$50,IF(N133="gaz",Q133*'Założenia,wskaźniki, listy'!$D$50,IF(N133="drewno",Q133*'Założenia,wskaźniki, listy'!$E$50,IF(N133="pelet",Q133*'Założenia,wskaźniki, listy'!$G$50,IF(N133="olej opałowy",Q133*'Założenia,wskaźniki, listy'!$G$50,IF(N133="sieć ciepłownicza",0,IF(N133="prąd",0,0)))))))</f>
        <v>0</v>
      </c>
      <c r="AH133" s="640">
        <f>IF(L133="węgiel",(P133+R133)/2*'Założenia,wskaźniki, listy'!$C$4,IF(L133="gaz",(P133+R133)/2*'Założenia,wskaźniki, listy'!$C$5,IF(L133="drewno",(P133+R133)/2*'Założenia,wskaźniki, listy'!$C$6,IF(L133="pelet",(P133+R133)/2*'Założenia,wskaźniki, listy'!$C$7,IF(L133="olej opałowy",(P133+R133)/2*'Założenia,wskaźniki, listy'!$C$8,IF(L133="sieć ciepłownicza",(P133+R133)/2*'Założenia,wskaźniki, listy'!$C$9,IF(L133="sieć ciepłownicza",(P133+R133)/2*'Założenia,wskaźniki, listy'!$C$10,)))))))</f>
        <v>2107.81</v>
      </c>
      <c r="AI133" s="640">
        <f>IF(N133="węgiel",Q133*'Założenia,wskaźniki, listy'!$C$4,IF(N133="gaz",Q133*'Założenia,wskaźniki, listy'!$C$5,IF(N133="drewno",Q133*'Założenia,wskaźniki, listy'!$C$6,IF(N133="pelet",Q133*'Założenia,wskaźniki, listy'!$C$7,IF(N133="olej opałowy",Q133*'Założenia,wskaźniki, listy'!$C$8,IF(N133="sieć ciepłownicza",Q133*'Założenia,wskaźniki, listy'!$C$9,IF(N133="sieć ciepłownicza",Q133*'Założenia,wskaźniki, listy'!$C$10,0)))))))</f>
        <v>0</v>
      </c>
      <c r="AJ133" s="640">
        <f>S133*'Założenia,wskaźniki, listy'!$B$64*1000</f>
        <v>1361.4959999999999</v>
      </c>
      <c r="AK133" s="640">
        <f>(H133+I133)*'Założenia,wskaźniki, listy'!$D$64*12</f>
        <v>0</v>
      </c>
      <c r="AL133" s="640">
        <f>AK133*'Założenia,wskaźniki, listy'!$F$64</f>
        <v>0</v>
      </c>
      <c r="AM133" s="639">
        <f t="shared" si="206"/>
        <v>1.01745E-2</v>
      </c>
      <c r="AN133" s="639">
        <f t="shared" si="207"/>
        <v>9.0892200000000003E-3</v>
      </c>
      <c r="AO133" s="639">
        <f>V133+AC133+S133*'Założenia,wskaźniki, listy'!$J$46</f>
        <v>5.833407199999999</v>
      </c>
      <c r="AP133" s="639">
        <f t="shared" si="208"/>
        <v>1.22094E-5</v>
      </c>
      <c r="AQ133" s="639">
        <f t="shared" si="209"/>
        <v>4.0697999999999998E-2</v>
      </c>
      <c r="AR133" s="639">
        <f t="shared" si="210"/>
        <v>7.1447599999999991E-3</v>
      </c>
      <c r="AS133" s="639">
        <f t="shared" si="211"/>
        <v>9.0965578900312913E-2</v>
      </c>
      <c r="AT133" s="647"/>
      <c r="AU133" s="647"/>
      <c r="AV133" s="624" t="b">
        <f t="shared" si="241"/>
        <v>0</v>
      </c>
      <c r="AW133" s="624">
        <f t="shared" si="242"/>
        <v>0</v>
      </c>
      <c r="AX133" s="624">
        <f t="shared" si="243"/>
        <v>80</v>
      </c>
      <c r="AY133" s="624">
        <f t="shared" si="244"/>
        <v>40</v>
      </c>
      <c r="AZ133" s="624" t="b">
        <f t="shared" si="245"/>
        <v>0</v>
      </c>
      <c r="BA133" s="624">
        <f t="shared" si="246"/>
        <v>0</v>
      </c>
      <c r="BB133" s="624" t="b">
        <f t="shared" si="247"/>
        <v>0</v>
      </c>
      <c r="BC133" s="624">
        <f t="shared" si="248"/>
        <v>0</v>
      </c>
      <c r="BD133" s="624" t="b">
        <f t="shared" si="249"/>
        <v>0</v>
      </c>
      <c r="BE133" s="624">
        <f t="shared" si="250"/>
        <v>0</v>
      </c>
      <c r="BF133" s="624">
        <f t="shared" si="251"/>
        <v>45.22</v>
      </c>
      <c r="BG133" s="624" t="b">
        <f t="shared" si="252"/>
        <v>0</v>
      </c>
      <c r="BH133" s="624" t="b">
        <f t="shared" si="253"/>
        <v>0</v>
      </c>
      <c r="BI133" s="624" t="b">
        <f t="shared" si="254"/>
        <v>0</v>
      </c>
      <c r="BJ133" s="624" t="b">
        <f t="shared" si="255"/>
        <v>0</v>
      </c>
      <c r="BK133" s="624" t="b">
        <f t="shared" si="256"/>
        <v>0</v>
      </c>
      <c r="BL133" s="624" t="b">
        <f t="shared" si="257"/>
        <v>0</v>
      </c>
      <c r="BM133" s="624" t="b">
        <f t="shared" si="258"/>
        <v>0</v>
      </c>
      <c r="BN133" s="624" t="b">
        <f t="shared" si="259"/>
        <v>0</v>
      </c>
      <c r="BO133" s="624" t="b">
        <f t="shared" si="260"/>
        <v>0</v>
      </c>
      <c r="BP133" s="624" t="b">
        <f t="shared" si="261"/>
        <v>0</v>
      </c>
      <c r="BQ133" s="624" t="b">
        <f t="shared" si="262"/>
        <v>0</v>
      </c>
    </row>
    <row r="134" spans="1:69" ht="8.25" customHeight="1">
      <c r="A134" s="1086"/>
      <c r="B134" s="872"/>
      <c r="C134" s="872"/>
      <c r="D134" s="645"/>
      <c r="E134" s="645"/>
      <c r="F134" s="644"/>
      <c r="G134" s="644"/>
      <c r="H134" s="644"/>
      <c r="I134" s="635"/>
      <c r="J134" s="644">
        <f>IF(F134&lt;=1966,'Założenia,wskaźniki, listy'!$H$4,IF(F134&gt;1966,IF(F134&lt;=1985,'Założenia,wskaźniki, listy'!$H$5,IF(F134&gt;1985,IF(F134&lt;=1992,'Założenia,wskaźniki, listy'!$H$6,IF(F134&gt;1992,IF(F134&lt;=1996,'Założenia,wskaźniki, listy'!$H$7,IF(F134&gt;1996,IF(F134&lt;=2015,'Założenia,wskaźniki, listy'!$H$8)))))))))</f>
        <v>290</v>
      </c>
      <c r="K134" s="872"/>
      <c r="L134" s="644" t="s">
        <v>79</v>
      </c>
      <c r="M134" s="644">
        <v>0.5</v>
      </c>
      <c r="N134" s="644"/>
      <c r="O134" s="637">
        <f t="shared" ref="O134" si="263">IF(P134&gt;0,(Q134+R134+P134)/2,Q134+R134)</f>
        <v>7.5</v>
      </c>
      <c r="P134" s="646">
        <f>IF(K134="kompletna",J134*G134*0.0036*'Założenia,wskaźniki, listy'!$P$9,IF(K134="częściowa",J134*G134*0.0036*'Założenia,wskaźniki, listy'!$P$10,IF(K134="brak",J134*G134*0.0036*'Założenia,wskaźniki, listy'!$P$11,0)))</f>
        <v>0</v>
      </c>
      <c r="Q134" s="638">
        <f>H134*'Założenia,wskaźniki, listy'!$L$15</f>
        <v>0</v>
      </c>
      <c r="R134" s="635">
        <f>IF(L134="węgiel",'Mieszkalne - baza'!M134*'Założenia,wskaźniki, listy'!$B$4,IF(L134="gaz",'Mieszkalne - baza'!M134*'Założenia,wskaźniki, listy'!$B$5,IF(L134="drewno",'Mieszkalne - baza'!M134*'Założenia,wskaźniki, listy'!$B$6,IF(L134="pelet",'Mieszkalne - baza'!M134*'Założenia,wskaźniki, listy'!$B$7,IF(L134="olej opałowy",'Mieszkalne - baza'!M134*'Założenia,wskaźniki, listy'!$B$8,IF(L134="sieć ciepłownicza",0,0))))))</f>
        <v>7.5</v>
      </c>
      <c r="S134" s="1085"/>
      <c r="T134" s="639">
        <f>IF(L134="węgiel",R134*'Założenia,wskaźniki, listy'!$C$44,IF(L134="gaz",R134*'Założenia,wskaźniki, listy'!$D$44,IF(L134="drewno",R134*'Założenia,wskaźniki, listy'!$E$44,IF(L134="pelet",R134*'Założenia,wskaźniki, listy'!$F$44,IF(L134="olej opałowy",R134*'Założenia,wskaźniki, listy'!$G$44,IF(L134="sieć ciepłownicza",0,IF(L134="prąd",0,0)))))))</f>
        <v>3.5999999999999999E-3</v>
      </c>
      <c r="U134" s="639">
        <f>IF(L134="węgiel",R134*'Założenia,wskaźniki, listy'!$C$45,IF(L134="gaz",R134*'Założenia,wskaźniki, listy'!$D$45,IF(L134="drewno",R134*'Założenia,wskaźniki, listy'!$E$45,IF(L134="pelet",R134*'Założenia,wskaźniki, listy'!$F$45,IF(L134="olej opałowy",R134*'Założenia,wskaźniki, listy'!$G$45,IF(L134="sieć ciepłownicza",0,IF(L134="prąd",0,0)))))))</f>
        <v>3.5249999999999999E-3</v>
      </c>
      <c r="V134" s="639">
        <f>IF(L134="węgiel",R134*'Założenia,wskaźniki, listy'!$C$46,IF(L134="gaz",R134*'Założenia,wskaźniki, listy'!$D$46,IF(L134="drewno",R134*'Założenia,wskaźniki, listy'!$E$46,IF(L134="pelet",R134*'Założenia,wskaźniki, listy'!$F$46,IF(L134="olej opałowy",R134*'Założenia,wskaźniki, listy'!$G$46,IF(L134="sieć ciepłownicza",R134*'Założenia,wskaźniki, listy'!$H$46,IF(L134="prąd",R134*'Założenia,wskaźniki, listy'!$I$46,0)))))))</f>
        <v>0</v>
      </c>
      <c r="W134" s="639">
        <f>IF(L134="węgiel",R134*'Założenia,wskaźniki, listy'!$C$47,IF(L134="gaz",R134*'Założenia,wskaźniki, listy'!$D$47,IF(L134="drewno",R134*'Założenia,wskaźniki, listy'!$E$47,IF(L134="pelet",R134*'Założenia,wskaźniki, listy'!$F$47,IF(L134="olej opałowy",R134*'Założenia,wskaźniki, listy'!$G$47,IF(L134="sieć ciepłownicza",0,IF(L134="prąd",0,0)))))))</f>
        <v>9.075000000000001E-7</v>
      </c>
      <c r="X134" s="639">
        <f>IF(L134="węgiel",R134*'Założenia,wskaźniki, listy'!$C$48, IF(L134="gaz",R134*'Założenia,wskaźniki, listy'!$D$48,IF(L134="drewno",R134*'Założenia,wskaźniki, listy'!$E$48,IF(L134="pelet",R134*'Założenia,wskaźniki, listy'!$F$48,IF(L134="olej opałowy",R134*'Założenia,wskaźniki, listy'!$G$48,IF(L134="sieć ciepłownicza",0,IF(L134="prąd",0,0)))))))</f>
        <v>8.25E-5</v>
      </c>
      <c r="Y134" s="639">
        <f>IF(L134="węgiel",R134*'Założenia,wskaźniki, listy'!$C$49, IF(L134="gaz",R134*'Założenia,wskaźniki, listy'!$D$49, IF(L134="drewno",R134*'Założenia,wskaźniki, listy'!$E$49,IF(L134="pelet",R134*'Założenia,wskaźniki, listy'!$F$49,IF(L134="olej opałowy",R134*'Założenia,wskaźniki, listy'!$G$49,IF(L134="sieć ciepłownicza",0,IF(L134="prąd",0,0)))))))</f>
        <v>6.0000000000000006E-4</v>
      </c>
      <c r="Z134" s="639">
        <f>IF(L134="węgiel",R134*'Założenia,wskaźniki, listy'!$C$50,IF(L134="gaz",R134*'Założenia,wskaźniki, listy'!$D$50, IF(L134="drewno",R134*'Założenia,wskaźniki, listy'!$E$50,IF(L134="pelet",R134*'Założenia,wskaźniki, listy'!$F$50,IF(L134="pelet",R134*'Założenia,wskaźniki, listy'!$F$50,IF(L134="olej opałowy",R134*'Założenia,wskaźniki, listy'!$G$50,IF(L134="sieć ciepłownicza",0,IF(L134="prąd",0,0))))))))</f>
        <v>1.3454999999999999E-3</v>
      </c>
      <c r="AA134" s="639">
        <f>IF(N134="węgiel",Q134*'Założenia,wskaźniki, listy'!$C$44,IF(N134="gaz",Q134*'Założenia,wskaźniki, listy'!$D$44,IF(N134="drewno",Q134*'Założenia,wskaźniki, listy'!$E$44,IF(N134="pelet",Q134*'Założenia,wskaźniki, listy'!$G$44,IF(N134="olej opałowy",Q134*'Założenia,wskaźniki, listy'!$G$44,IF(N134="sieć ciepłownicza",0,IF(N134="prąd",0,0)))))))</f>
        <v>0</v>
      </c>
      <c r="AB134" s="639">
        <f>IF(N134="węgiel",Q134*'Założenia,wskaźniki, listy'!$C$45,IF(N134="gaz",Q134*'Założenia,wskaźniki, listy'!$D$45,IF(N134="drewno",Q134*'Założenia,wskaźniki, listy'!$E$45,IF(N134="pelet",Q134*'Założenia,wskaźniki, listy'!$G$45,IF(N134="olej opałowy",Q134*'Założenia,wskaźniki, listy'!$G$45,IF(N134="sieć ciepłownicza",0,IF(N134="prąd",0,0)))))))</f>
        <v>0</v>
      </c>
      <c r="AC134" s="639">
        <f>IF(N134="węgiel",Q134*'Założenia,wskaźniki, listy'!$C$46,IF(N134="gaz",Q134*'Założenia,wskaźniki, listy'!$D$46,IF(N134="drewno",Q134*'Założenia,wskaźniki, listy'!$E$46,IF(N134="pelet",Q134*'Założenia,wskaźniki, listy'!$G$46,IF(N134="olej opałowy",Q134*'Założenia,wskaźniki, listy'!$G$46,IF(N134="sieć ciepłownicza",0,IF(N134="prąd",0,0)))))))</f>
        <v>0</v>
      </c>
      <c r="AD134" s="639">
        <f>IF(N134="węgiel",Q134*'Założenia,wskaźniki, listy'!$C$47,IF(N134="gaz",Q134*'Założenia,wskaźniki, listy'!$D$47,IF(N134="drewno",Q134*'Założenia,wskaźniki, listy'!$E$47,IF(N134="pelet",Q134*'Założenia,wskaźniki, listy'!$G$47,IF(N134="olej opałowy",Q134*'Założenia,wskaźniki, listy'!$G$47,IF(N134="sieć ciepłownicza",0,IF(N134="prąd",0,0)))))))</f>
        <v>0</v>
      </c>
      <c r="AE134" s="639">
        <f>IF(N134="węgiel",Q134*'Założenia,wskaźniki, listy'!$C$48,IF(N134="gaz",Q134*'Założenia,wskaźniki, listy'!$D$48,IF(N134="drewno",Q134*'Założenia,wskaźniki, listy'!$E$48,IF(N134="pelet",Q134*'Założenia,wskaźniki, listy'!$G$48,IF(N134="olej opałowy",Q134*'Założenia,wskaźniki, listy'!$G$48,IF(N134="sieć ciepłownicza",0,IF(N134="prąd",0,0)))))))</f>
        <v>0</v>
      </c>
      <c r="AF134" s="639">
        <f>IF(N134="węgiel",Q134*'Założenia,wskaźniki, listy'!$C$49,IF(N134="gaz",Q134*'Założenia,wskaźniki, listy'!$D$49,IF(N134="drewno",Q134*'Założenia,wskaźniki, listy'!$E$49,IF(N134="pelet",Q134*'Założenia,wskaźniki, listy'!$G$49,IF(N134="olej opałowy",Q134*'Założenia,wskaźniki, listy'!$G$49,IF(N134="sieć ciepłownicza",0,IF(N134="prąd",0,0)))))))</f>
        <v>0</v>
      </c>
      <c r="AG134" s="639">
        <f>IF(N134="węgiel",Q134*'Założenia,wskaźniki, listy'!$C$50,IF(N134="gaz",Q134*'Założenia,wskaźniki, listy'!$D$50,IF(N134="drewno",Q134*'Założenia,wskaźniki, listy'!$E$50,IF(N134="pelet",Q134*'Założenia,wskaźniki, listy'!$G$50,IF(N134="olej opałowy",Q134*'Założenia,wskaźniki, listy'!$G$50,IF(N134="sieć ciepłownicza",0,IF(N134="prąd",0,0)))))))</f>
        <v>0</v>
      </c>
      <c r="AH134" s="640">
        <f>IF(L134="węgiel",(P134+R134)/2*'Założenia,wskaźniki, listy'!$C$4,IF(L134="gaz",(P134+R134)/2*'Założenia,wskaźniki, listy'!$C$5,IF(L134="drewno",(P134+R134)/2*'Założenia,wskaźniki, listy'!$C$6,IF(L134="pelet",(P134+R134)/2*'Założenia,wskaźniki, listy'!$C$7,IF(L134="olej opałowy",(P134+R134)/2*'Założenia,wskaźniki, listy'!$C$8,IF(L134="sieć ciepłownicza",(P134+R134)/2*'Założenia,wskaźniki, listy'!$C$9,IF(L134="sieć ciepłownicza",(P134+R134)/2*'Założenia,wskaźniki, listy'!$C$10,)))))))</f>
        <v>142.5</v>
      </c>
      <c r="AI134" s="640">
        <f>IF(N134="węgiel",Q134*'Założenia,wskaźniki, listy'!$C$4,IF(N134="gaz",Q134*'Założenia,wskaźniki, listy'!$C$5,IF(N134="drewno",Q134*'Założenia,wskaźniki, listy'!$C$6,IF(N134="pelet",Q134*'Założenia,wskaźniki, listy'!$C$7,IF(N134="olej opałowy",Q134*'Założenia,wskaźniki, listy'!$C$8,IF(N134="sieć ciepłownicza",Q134*'Założenia,wskaźniki, listy'!$C$9,IF(N134="sieć ciepłownicza",Q134*'Założenia,wskaźniki, listy'!$C$10,0)))))))</f>
        <v>0</v>
      </c>
      <c r="AJ134" s="640">
        <f>S134*'Założenia,wskaźniki, listy'!$B$64*1000</f>
        <v>0</v>
      </c>
      <c r="AK134" s="640">
        <f>(H134+I134)*'Założenia,wskaźniki, listy'!$D$64*12</f>
        <v>0</v>
      </c>
      <c r="AL134" s="640">
        <f>AK134*'Założenia,wskaźniki, listy'!$F$64</f>
        <v>0</v>
      </c>
      <c r="AM134" s="639">
        <f t="shared" ref="AM134" si="264">T134+AA134</f>
        <v>3.5999999999999999E-3</v>
      </c>
      <c r="AN134" s="639">
        <f t="shared" ref="AN134" si="265">U134+AB134</f>
        <v>3.5249999999999999E-3</v>
      </c>
      <c r="AO134" s="639">
        <f>V134+AC134+S134*'Założenia,wskaźniki, listy'!$J$46</f>
        <v>0</v>
      </c>
      <c r="AP134" s="639">
        <f t="shared" ref="AP134" si="266">W134+AD134</f>
        <v>9.075000000000001E-7</v>
      </c>
      <c r="AQ134" s="639">
        <f t="shared" ref="AQ134" si="267">X134+AE134</f>
        <v>8.25E-5</v>
      </c>
      <c r="AR134" s="639">
        <f t="shared" ref="AR134" si="268">Y134+AF134</f>
        <v>6.0000000000000006E-4</v>
      </c>
      <c r="AS134" s="639">
        <f t="shared" ref="AS134" si="269">Z134+AG134</f>
        <v>1.3454999999999999E-3</v>
      </c>
      <c r="AT134" s="647"/>
      <c r="AU134" s="647"/>
      <c r="AV134" s="624">
        <f t="shared" si="241"/>
        <v>0</v>
      </c>
      <c r="AW134" s="624" t="b">
        <f t="shared" si="242"/>
        <v>0</v>
      </c>
      <c r="AX134" s="624" t="b">
        <f t="shared" si="243"/>
        <v>0</v>
      </c>
      <c r="AY134" s="624" t="b">
        <f t="shared" si="244"/>
        <v>0</v>
      </c>
      <c r="AZ134" s="624" t="b">
        <f t="shared" si="245"/>
        <v>0</v>
      </c>
      <c r="BA134" s="624" t="b">
        <f t="shared" si="246"/>
        <v>0</v>
      </c>
      <c r="BB134" s="624" t="b">
        <f t="shared" si="247"/>
        <v>0</v>
      </c>
      <c r="BC134" s="624" t="b">
        <f t="shared" si="248"/>
        <v>0</v>
      </c>
      <c r="BD134" s="624" t="b">
        <f t="shared" si="249"/>
        <v>0</v>
      </c>
      <c r="BE134" s="624" t="b">
        <f t="shared" si="250"/>
        <v>0</v>
      </c>
      <c r="BF134" s="624" t="b">
        <f t="shared" si="251"/>
        <v>0</v>
      </c>
      <c r="BG134" s="624" t="b">
        <f t="shared" si="252"/>
        <v>0</v>
      </c>
      <c r="BH134" s="624">
        <f t="shared" si="253"/>
        <v>7.5</v>
      </c>
      <c r="BI134" s="624" t="b">
        <f t="shared" si="254"/>
        <v>0</v>
      </c>
      <c r="BJ134" s="624" t="b">
        <f t="shared" si="255"/>
        <v>0</v>
      </c>
      <c r="BK134" s="624" t="b">
        <f t="shared" si="256"/>
        <v>0</v>
      </c>
      <c r="BL134" s="624" t="b">
        <f t="shared" si="257"/>
        <v>0</v>
      </c>
      <c r="BM134" s="624" t="b">
        <f t="shared" si="258"/>
        <v>0</v>
      </c>
      <c r="BN134" s="624" t="b">
        <f t="shared" si="259"/>
        <v>0</v>
      </c>
      <c r="BO134" s="624" t="b">
        <f t="shared" si="260"/>
        <v>0</v>
      </c>
      <c r="BP134" s="624" t="b">
        <f t="shared" si="261"/>
        <v>0</v>
      </c>
      <c r="BQ134" s="624" t="b">
        <f t="shared" si="262"/>
        <v>0</v>
      </c>
    </row>
    <row r="135" spans="1:69">
      <c r="A135" s="1086">
        <v>66</v>
      </c>
      <c r="B135" s="872" t="s">
        <v>21</v>
      </c>
      <c r="C135" s="873" t="s">
        <v>634</v>
      </c>
      <c r="D135" s="645"/>
      <c r="E135" s="645">
        <v>17</v>
      </c>
      <c r="F135" s="644">
        <v>1982</v>
      </c>
      <c r="G135" s="644">
        <v>160</v>
      </c>
      <c r="H135" s="644"/>
      <c r="I135" s="635"/>
      <c r="J135" s="644">
        <f>IF(F135&lt;=1966,'Założenia,wskaźniki, listy'!$H$4,IF(F135&gt;1966,IF(F135&lt;=1985,'Założenia,wskaźniki, listy'!$H$5,IF(F135&gt;1985,IF(F135&lt;=1992,'Założenia,wskaźniki, listy'!$H$6,IF(F135&gt;1992,IF(F135&lt;=1996,'Założenia,wskaźniki, listy'!$H$7,IF(F135&gt;1996,IF(F135&lt;=2015,'Założenia,wskaźniki, listy'!$H$8)))))))))</f>
        <v>250</v>
      </c>
      <c r="K135" s="864" t="s">
        <v>31</v>
      </c>
      <c r="L135" s="644" t="s">
        <v>8</v>
      </c>
      <c r="M135" s="644">
        <v>5</v>
      </c>
      <c r="N135" s="644"/>
      <c r="O135" s="637">
        <f t="shared" si="240"/>
        <v>128.52500000000001</v>
      </c>
      <c r="P135" s="646">
        <f>IF(K135="kompletna",J135*G135*0.0036*'Założenia,wskaźniki, listy'!$P$9,IF(K135="częściowa",J135*G135*0.0036*'Założenia,wskaźniki, listy'!$P$10,IF(K135="brak",J135*G135*0.0036*'Założenia,wskaźniki, listy'!$P$11,0)))</f>
        <v>144</v>
      </c>
      <c r="Q135" s="638">
        <f>H135*'Założenia,wskaźniki, listy'!$L$15</f>
        <v>0</v>
      </c>
      <c r="R135" s="635">
        <f>IF(L135="węgiel",'Mieszkalne - baza'!M135*'Założenia,wskaźniki, listy'!$B$4,IF(L135="gaz",'Mieszkalne - baza'!M135*'Założenia,wskaźniki, listy'!$B$5,IF(L135="drewno",'Mieszkalne - baza'!M135*'Założenia,wskaźniki, listy'!$B$6,IF(L135="pelet",'Mieszkalne - baza'!M135*'Założenia,wskaźniki, listy'!$B$7,IF(L135="olej opałowy",'Mieszkalne - baza'!M135*'Założenia,wskaźniki, listy'!$B$8,IF(L135="sieć ciepłownicza",0,0))))))</f>
        <v>113.05</v>
      </c>
      <c r="S135" s="1084">
        <v>1.8048000000000002</v>
      </c>
      <c r="T135" s="639">
        <f>IF(L135="węgiel",R135*'Założenia,wskaźniki, listy'!$C$44,IF(L135="gaz",R135*'Założenia,wskaźniki, listy'!$D$44,IF(L135="drewno",R135*'Założenia,wskaźniki, listy'!$E$44,IF(L135="pelet",R135*'Założenia,wskaźniki, listy'!$F$44,IF(L135="olej opałowy",R135*'Założenia,wskaźniki, listy'!$G$44,IF(L135="sieć ciepłownicza",0,IF(L135="prąd",0,0)))))))</f>
        <v>2.5436249999999997E-2</v>
      </c>
      <c r="U135" s="639">
        <f>IF(L135="węgiel",R135*'Założenia,wskaźniki, listy'!$C$45,IF(L135="gaz",R135*'Założenia,wskaźniki, listy'!$D$45,IF(L135="drewno",R135*'Założenia,wskaźniki, listy'!$E$45,IF(L135="pelet",R135*'Założenia,wskaźniki, listy'!$F$45,IF(L135="olej opałowy",R135*'Założenia,wskaźniki, listy'!$G$45,IF(L135="sieć ciepłownicza",0,IF(L135="prąd",0,0)))))))</f>
        <v>2.2723050000000002E-2</v>
      </c>
      <c r="V135" s="639">
        <f>IF(L135="węgiel",R135*'Założenia,wskaźniki, listy'!$C$46,IF(L135="gaz",R135*'Założenia,wskaźniki, listy'!$D$46,IF(L135="drewno",R135*'Założenia,wskaźniki, listy'!$E$46,IF(L135="pelet",R135*'Założenia,wskaźniki, listy'!$F$46,IF(L135="olej opałowy",R135*'Założenia,wskaźniki, listy'!$G$46,IF(L135="sieć ciepłownicza",R135*'Założenia,wskaźniki, listy'!$H$46,IF(L135="prąd",R135*'Założenia,wskaźniki, listy'!$I$46,0)))))))</f>
        <v>10.597306999999999</v>
      </c>
      <c r="W135" s="639">
        <f>IF(L135="węgiel",R135*'Założenia,wskaźniki, listy'!$C$47,IF(L135="gaz",R135*'Założenia,wskaźniki, listy'!$D$47,IF(L135="drewno",R135*'Założenia,wskaźniki, listy'!$E$47,IF(L135="pelet",R135*'Założenia,wskaźniki, listy'!$F$47,IF(L135="olej opałowy",R135*'Założenia,wskaźniki, listy'!$G$47,IF(L135="sieć ciepłownicza",0,IF(L135="prąd",0,0)))))))</f>
        <v>3.05235E-5</v>
      </c>
      <c r="X135" s="639">
        <f>IF(L135="węgiel",R135*'Założenia,wskaźniki, listy'!$C$48, IF(L135="gaz",R135*'Założenia,wskaźniki, listy'!$D$48,IF(L135="drewno",R135*'Założenia,wskaźniki, listy'!$E$48,IF(L135="pelet",R135*'Założenia,wskaźniki, listy'!$F$48,IF(L135="olej opałowy",R135*'Założenia,wskaźniki, listy'!$G$48,IF(L135="sieć ciepłownicza",0,IF(L135="prąd",0,0)))))))</f>
        <v>0.10174499999999999</v>
      </c>
      <c r="Y135" s="639">
        <f>IF(L135="węgiel",R135*'Założenia,wskaźniki, listy'!$C$49, IF(L135="gaz",R135*'Założenia,wskaźniki, listy'!$D$49, IF(L135="drewno",R135*'Założenia,wskaźniki, listy'!$E$49,IF(L135="pelet",R135*'Założenia,wskaźniki, listy'!$F$49,IF(L135="olej opałowy",R135*'Założenia,wskaźniki, listy'!$G$49,IF(L135="sieć ciepłownicza",0,IF(L135="prąd",0,0)))))))</f>
        <v>1.78619E-2</v>
      </c>
      <c r="Z135" s="639">
        <f>IF(L135="węgiel",R135*'Założenia,wskaźniki, listy'!$C$50,IF(L135="gaz",R135*'Założenia,wskaźniki, listy'!$D$50, IF(L135="drewno",R135*'Założenia,wskaźniki, listy'!$E$50,IF(L135="pelet",R135*'Założenia,wskaźniki, listy'!$F$50,IF(L135="pelet",R135*'Założenia,wskaźniki, listy'!$F$50,IF(L135="olej opałowy",R135*'Założenia,wskaźniki, listy'!$G$50,IF(L135="sieć ciepłownicza",0,IF(L135="prąd",0,0))))))))</f>
        <v>0.22741394725078226</v>
      </c>
      <c r="AA135" s="639">
        <f>IF(N135="węgiel",Q135*'Założenia,wskaźniki, listy'!$C$44,IF(N135="gaz",Q135*'Założenia,wskaźniki, listy'!$D$44,IF(N135="drewno",Q135*'Założenia,wskaźniki, listy'!$E$44,IF(N135="pelet",Q135*'Założenia,wskaźniki, listy'!$G$44,IF(N135="olej opałowy",Q135*'Założenia,wskaźniki, listy'!$G$44,IF(N135="sieć ciepłownicza",0,IF(N135="prąd",0,0)))))))</f>
        <v>0</v>
      </c>
      <c r="AB135" s="639">
        <f>IF(N135="węgiel",Q135*'Założenia,wskaźniki, listy'!$C$45,IF(N135="gaz",Q135*'Założenia,wskaźniki, listy'!$D$45,IF(N135="drewno",Q135*'Założenia,wskaźniki, listy'!$E$45,IF(N135="pelet",Q135*'Założenia,wskaźniki, listy'!$G$45,IF(N135="olej opałowy",Q135*'Założenia,wskaźniki, listy'!$G$45,IF(N135="sieć ciepłownicza",0,IF(N135="prąd",0,0)))))))</f>
        <v>0</v>
      </c>
      <c r="AC135" s="639">
        <f>IF(N135="węgiel",Q135*'Założenia,wskaźniki, listy'!$C$46,IF(N135="gaz",Q135*'Założenia,wskaźniki, listy'!$D$46,IF(N135="drewno",Q135*'Założenia,wskaźniki, listy'!$E$46,IF(N135="pelet",Q135*'Założenia,wskaźniki, listy'!$G$46,IF(N135="olej opałowy",Q135*'Założenia,wskaźniki, listy'!$G$46,IF(N135="sieć ciepłownicza",0,IF(N135="prąd",0,0)))))))</f>
        <v>0</v>
      </c>
      <c r="AD135" s="639">
        <f>IF(N135="węgiel",Q135*'Założenia,wskaźniki, listy'!$C$47,IF(N135="gaz",Q135*'Założenia,wskaźniki, listy'!$D$47,IF(N135="drewno",Q135*'Założenia,wskaźniki, listy'!$E$47,IF(N135="pelet",Q135*'Założenia,wskaźniki, listy'!$G$47,IF(N135="olej opałowy",Q135*'Założenia,wskaźniki, listy'!$G$47,IF(N135="sieć ciepłownicza",0,IF(N135="prąd",0,0)))))))</f>
        <v>0</v>
      </c>
      <c r="AE135" s="639">
        <f>IF(N135="węgiel",Q135*'Założenia,wskaźniki, listy'!$C$48,IF(N135="gaz",Q135*'Założenia,wskaźniki, listy'!$D$48,IF(N135="drewno",Q135*'Założenia,wskaźniki, listy'!$E$48,IF(N135="pelet",Q135*'Założenia,wskaźniki, listy'!$G$48,IF(N135="olej opałowy",Q135*'Założenia,wskaźniki, listy'!$G$48,IF(N135="sieć ciepłownicza",0,IF(N135="prąd",0,0)))))))</f>
        <v>0</v>
      </c>
      <c r="AF135" s="639">
        <f>IF(N135="węgiel",Q135*'Założenia,wskaźniki, listy'!$C$49,IF(N135="gaz",Q135*'Założenia,wskaźniki, listy'!$D$49,IF(N135="drewno",Q135*'Założenia,wskaźniki, listy'!$E$49,IF(N135="pelet",Q135*'Założenia,wskaźniki, listy'!$G$49,IF(N135="olej opałowy",Q135*'Założenia,wskaźniki, listy'!$G$49,IF(N135="sieć ciepłownicza",0,IF(N135="prąd",0,0)))))))</f>
        <v>0</v>
      </c>
      <c r="AG135" s="639">
        <f>IF(N135="węgiel",Q135*'Założenia,wskaźniki, listy'!$C$50,IF(N135="gaz",Q135*'Założenia,wskaźniki, listy'!$D$50,IF(N135="drewno",Q135*'Założenia,wskaźniki, listy'!$E$50,IF(N135="pelet",Q135*'Założenia,wskaźniki, listy'!$G$50,IF(N135="olej opałowy",Q135*'Założenia,wskaźniki, listy'!$G$50,IF(N135="sieć ciepłownicza",0,IF(N135="prąd",0,0)))))))</f>
        <v>0</v>
      </c>
      <c r="AH135" s="640">
        <f>IF(L135="węgiel",(P135+R135)/2*'Założenia,wskaźniki, listy'!$C$4,IF(L135="gaz",(P135+R135)/2*'Założenia,wskaźniki, listy'!$C$5,IF(L135="drewno",(P135+R135)/2*'Założenia,wskaźniki, listy'!$C$6,IF(L135="pelet",(P135+R135)/2*'Założenia,wskaźniki, listy'!$C$7,IF(L135="olej opałowy",(P135+R135)/2*'Założenia,wskaźniki, listy'!$C$8,IF(L135="sieć ciepłownicza",(P135+R135)/2*'Założenia,wskaźniki, listy'!$C$9,IF(L135="sieć ciepłownicza",(P135+R135)/2*'Założenia,wskaźniki, listy'!$C$10,)))))))</f>
        <v>5269.5250000000005</v>
      </c>
      <c r="AI135" s="640">
        <f>IF(N135="węgiel",Q135*'Założenia,wskaźniki, listy'!$C$4,IF(N135="gaz",Q135*'Założenia,wskaźniki, listy'!$C$5,IF(N135="drewno",Q135*'Założenia,wskaźniki, listy'!$C$6,IF(N135="pelet",Q135*'Założenia,wskaźniki, listy'!$C$7,IF(N135="olej opałowy",Q135*'Założenia,wskaźniki, listy'!$C$8,IF(N135="sieć ciepłownicza",Q135*'Założenia,wskaźniki, listy'!$C$9,IF(N135="sieć ciepłownicza",Q135*'Założenia,wskaźniki, listy'!$C$10,0)))))))</f>
        <v>0</v>
      </c>
      <c r="AJ135" s="640">
        <f>S135*'Założenia,wskaźniki, listy'!$B$64*1000</f>
        <v>1281.4080000000001</v>
      </c>
      <c r="AK135" s="640">
        <f>(H135+I135)*'Założenia,wskaźniki, listy'!$D$64*12</f>
        <v>0</v>
      </c>
      <c r="AL135" s="640">
        <f>AK135*'Założenia,wskaźniki, listy'!$F$64</f>
        <v>0</v>
      </c>
      <c r="AM135" s="639">
        <f t="shared" si="206"/>
        <v>2.5436249999999997E-2</v>
      </c>
      <c r="AN135" s="639">
        <f t="shared" si="207"/>
        <v>2.2723050000000002E-2</v>
      </c>
      <c r="AO135" s="639">
        <f>V135+AC135+S135*'Założenia,wskaźniki, listy'!$J$46</f>
        <v>12.097998199999999</v>
      </c>
      <c r="AP135" s="639">
        <f t="shared" si="208"/>
        <v>3.05235E-5</v>
      </c>
      <c r="AQ135" s="639">
        <f t="shared" si="209"/>
        <v>0.10174499999999999</v>
      </c>
      <c r="AR135" s="639">
        <f t="shared" si="210"/>
        <v>1.78619E-2</v>
      </c>
      <c r="AS135" s="639">
        <f t="shared" si="211"/>
        <v>0.22741394725078226</v>
      </c>
      <c r="AT135" s="647"/>
      <c r="AU135" s="647"/>
      <c r="AV135" s="624" t="b">
        <f t="shared" si="241"/>
        <v>0</v>
      </c>
      <c r="AW135" s="624" t="b">
        <f t="shared" si="242"/>
        <v>0</v>
      </c>
      <c r="AX135" s="624">
        <f t="shared" si="243"/>
        <v>160</v>
      </c>
      <c r="AY135" s="624" t="b">
        <f t="shared" si="244"/>
        <v>0</v>
      </c>
      <c r="AZ135" s="624" t="b">
        <f t="shared" si="245"/>
        <v>0</v>
      </c>
      <c r="BA135" s="624" t="b">
        <f t="shared" si="246"/>
        <v>0</v>
      </c>
      <c r="BB135" s="624" t="b">
        <f t="shared" si="247"/>
        <v>0</v>
      </c>
      <c r="BC135" s="624" t="b">
        <f t="shared" si="248"/>
        <v>0</v>
      </c>
      <c r="BD135" s="624" t="b">
        <f t="shared" si="249"/>
        <v>0</v>
      </c>
      <c r="BE135" s="624" t="b">
        <f t="shared" si="250"/>
        <v>0</v>
      </c>
      <c r="BF135" s="624">
        <f t="shared" si="251"/>
        <v>113.05</v>
      </c>
      <c r="BG135" s="624" t="b">
        <f t="shared" si="252"/>
        <v>0</v>
      </c>
      <c r="BH135" s="624" t="b">
        <f t="shared" si="253"/>
        <v>0</v>
      </c>
      <c r="BI135" s="624" t="b">
        <f t="shared" si="254"/>
        <v>0</v>
      </c>
      <c r="BJ135" s="624" t="b">
        <f t="shared" si="255"/>
        <v>0</v>
      </c>
      <c r="BK135" s="624" t="b">
        <f t="shared" si="256"/>
        <v>0</v>
      </c>
      <c r="BL135" s="624" t="b">
        <f t="shared" si="257"/>
        <v>0</v>
      </c>
      <c r="BM135" s="624" t="b">
        <f t="shared" si="258"/>
        <v>0</v>
      </c>
      <c r="BN135" s="624" t="b">
        <f t="shared" si="259"/>
        <v>0</v>
      </c>
      <c r="BO135" s="624" t="b">
        <f t="shared" si="260"/>
        <v>0</v>
      </c>
      <c r="BP135" s="624" t="b">
        <f t="shared" si="261"/>
        <v>0</v>
      </c>
      <c r="BQ135" s="624" t="b">
        <f t="shared" si="262"/>
        <v>0</v>
      </c>
    </row>
    <row r="136" spans="1:69" ht="8.25" customHeight="1">
      <c r="A136" s="1086"/>
      <c r="B136" s="872"/>
      <c r="C136" s="874"/>
      <c r="D136" s="645"/>
      <c r="E136" s="645"/>
      <c r="F136" s="644"/>
      <c r="G136" s="644"/>
      <c r="H136" s="644"/>
      <c r="I136" s="635"/>
      <c r="J136" s="644">
        <f>IF(F136&lt;=1966,'Założenia,wskaźniki, listy'!$H$4,IF(F136&gt;1966,IF(F136&lt;=1985,'Założenia,wskaźniki, listy'!$H$5,IF(F136&gt;1985,IF(F136&lt;=1992,'Założenia,wskaźniki, listy'!$H$6,IF(F136&gt;1992,IF(F136&lt;=1996,'Założenia,wskaźniki, listy'!$H$7,IF(F136&gt;1996,IF(F136&lt;=2015,'Założenia,wskaźniki, listy'!$H$8)))))))))</f>
        <v>290</v>
      </c>
      <c r="K136" s="872"/>
      <c r="L136" s="644" t="s">
        <v>79</v>
      </c>
      <c r="M136" s="644">
        <v>1</v>
      </c>
      <c r="N136" s="644"/>
      <c r="O136" s="637">
        <f t="shared" ref="O136" si="270">IF(P136&gt;0,(Q136+R136+P136)/2,Q136+R136)</f>
        <v>15</v>
      </c>
      <c r="P136" s="646">
        <f>IF(K136="kompletna",J136*G136*0.0036*'Założenia,wskaźniki, listy'!$P$9,IF(K136="częściowa",J136*G136*0.0036*'Założenia,wskaźniki, listy'!$P$10,IF(K136="brak",J136*G136*0.0036*'Założenia,wskaźniki, listy'!$P$11,0)))</f>
        <v>0</v>
      </c>
      <c r="Q136" s="638">
        <f>H136*'Założenia,wskaźniki, listy'!$L$15</f>
        <v>0</v>
      </c>
      <c r="R136" s="635">
        <f>IF(L136="węgiel",'Mieszkalne - baza'!M136*'Założenia,wskaźniki, listy'!$B$4,IF(L136="gaz",'Mieszkalne - baza'!M136*'Założenia,wskaźniki, listy'!$B$5,IF(L136="drewno",'Mieszkalne - baza'!M136*'Założenia,wskaźniki, listy'!$B$6,IF(L136="pelet",'Mieszkalne - baza'!M136*'Założenia,wskaźniki, listy'!$B$7,IF(L136="olej opałowy",'Mieszkalne - baza'!M136*'Założenia,wskaźniki, listy'!$B$8,IF(L136="sieć ciepłownicza",0,0))))))</f>
        <v>15</v>
      </c>
      <c r="S136" s="1085"/>
      <c r="T136" s="639">
        <f>IF(L136="węgiel",R136*'Założenia,wskaźniki, listy'!$C$44,IF(L136="gaz",R136*'Założenia,wskaźniki, listy'!$D$44,IF(L136="drewno",R136*'Założenia,wskaźniki, listy'!$E$44,IF(L136="pelet",R136*'Założenia,wskaźniki, listy'!$F$44,IF(L136="olej opałowy",R136*'Założenia,wskaźniki, listy'!$G$44,IF(L136="sieć ciepłownicza",0,IF(L136="prąd",0,0)))))))</f>
        <v>7.1999999999999998E-3</v>
      </c>
      <c r="U136" s="639">
        <f>IF(L136="węgiel",R136*'Założenia,wskaźniki, listy'!$C$45,IF(L136="gaz",R136*'Założenia,wskaźniki, listy'!$D$45,IF(L136="drewno",R136*'Założenia,wskaźniki, listy'!$E$45,IF(L136="pelet",R136*'Założenia,wskaźniki, listy'!$F$45,IF(L136="olej opałowy",R136*'Założenia,wskaźniki, listy'!$G$45,IF(L136="sieć ciepłownicza",0,IF(L136="prąd",0,0)))))))</f>
        <v>7.0499999999999998E-3</v>
      </c>
      <c r="V136" s="639">
        <f>IF(L136="węgiel",R136*'Założenia,wskaźniki, listy'!$C$46,IF(L136="gaz",R136*'Założenia,wskaźniki, listy'!$D$46,IF(L136="drewno",R136*'Założenia,wskaźniki, listy'!$E$46,IF(L136="pelet",R136*'Założenia,wskaźniki, listy'!$F$46,IF(L136="olej opałowy",R136*'Założenia,wskaźniki, listy'!$G$46,IF(L136="sieć ciepłownicza",R136*'Założenia,wskaźniki, listy'!$H$46,IF(L136="prąd",R136*'Założenia,wskaźniki, listy'!$I$46,0)))))))</f>
        <v>0</v>
      </c>
      <c r="W136" s="639">
        <f>IF(L136="węgiel",R136*'Założenia,wskaźniki, listy'!$C$47,IF(L136="gaz",R136*'Założenia,wskaźniki, listy'!$D$47,IF(L136="drewno",R136*'Założenia,wskaźniki, listy'!$E$47,IF(L136="pelet",R136*'Założenia,wskaźniki, listy'!$F$47,IF(L136="olej opałowy",R136*'Założenia,wskaźniki, listy'!$G$47,IF(L136="sieć ciepłownicza",0,IF(L136="prąd",0,0)))))))</f>
        <v>1.8150000000000002E-6</v>
      </c>
      <c r="X136" s="639">
        <f>IF(L136="węgiel",R136*'Założenia,wskaźniki, listy'!$C$48, IF(L136="gaz",R136*'Założenia,wskaźniki, listy'!$D$48,IF(L136="drewno",R136*'Założenia,wskaźniki, listy'!$E$48,IF(L136="pelet",R136*'Założenia,wskaźniki, listy'!$F$48,IF(L136="olej opałowy",R136*'Założenia,wskaźniki, listy'!$G$48,IF(L136="sieć ciepłownicza",0,IF(L136="prąd",0,0)))))))</f>
        <v>1.65E-4</v>
      </c>
      <c r="Y136" s="639">
        <f>IF(L136="węgiel",R136*'Założenia,wskaźniki, listy'!$C$49, IF(L136="gaz",R136*'Założenia,wskaźniki, listy'!$D$49, IF(L136="drewno",R136*'Założenia,wskaźniki, listy'!$E$49,IF(L136="pelet",R136*'Założenia,wskaźniki, listy'!$F$49,IF(L136="olej opałowy",R136*'Założenia,wskaźniki, listy'!$G$49,IF(L136="sieć ciepłownicza",0,IF(L136="prąd",0,0)))))))</f>
        <v>1.2000000000000001E-3</v>
      </c>
      <c r="Z136" s="639">
        <f>IF(L136="węgiel",R136*'Założenia,wskaźniki, listy'!$C$50,IF(L136="gaz",R136*'Założenia,wskaźniki, listy'!$D$50, IF(L136="drewno",R136*'Założenia,wskaźniki, listy'!$E$50,IF(L136="pelet",R136*'Założenia,wskaźniki, listy'!$F$50,IF(L136="pelet",R136*'Założenia,wskaźniki, listy'!$F$50,IF(L136="olej opałowy",R136*'Założenia,wskaźniki, listy'!$G$50,IF(L136="sieć ciepłownicza",0,IF(L136="prąd",0,0))))))))</f>
        <v>2.6909999999999998E-3</v>
      </c>
      <c r="AA136" s="639">
        <f>IF(N136="węgiel",Q136*'Założenia,wskaźniki, listy'!$C$44,IF(N136="gaz",Q136*'Założenia,wskaźniki, listy'!$D$44,IF(N136="drewno",Q136*'Założenia,wskaźniki, listy'!$E$44,IF(N136="pelet",Q136*'Założenia,wskaźniki, listy'!$G$44,IF(N136="olej opałowy",Q136*'Założenia,wskaźniki, listy'!$G$44,IF(N136="sieć ciepłownicza",0,IF(N136="prąd",0,0)))))))</f>
        <v>0</v>
      </c>
      <c r="AB136" s="639">
        <f>IF(N136="węgiel",Q136*'Założenia,wskaźniki, listy'!$C$45,IF(N136="gaz",Q136*'Założenia,wskaźniki, listy'!$D$45,IF(N136="drewno",Q136*'Założenia,wskaźniki, listy'!$E$45,IF(N136="pelet",Q136*'Założenia,wskaźniki, listy'!$G$45,IF(N136="olej opałowy",Q136*'Założenia,wskaźniki, listy'!$G$45,IF(N136="sieć ciepłownicza",0,IF(N136="prąd",0,0)))))))</f>
        <v>0</v>
      </c>
      <c r="AC136" s="639">
        <f>IF(N136="węgiel",Q136*'Założenia,wskaźniki, listy'!$C$46,IF(N136="gaz",Q136*'Założenia,wskaźniki, listy'!$D$46,IF(N136="drewno",Q136*'Założenia,wskaźniki, listy'!$E$46,IF(N136="pelet",Q136*'Założenia,wskaźniki, listy'!$G$46,IF(N136="olej opałowy",Q136*'Założenia,wskaźniki, listy'!$G$46,IF(N136="sieć ciepłownicza",0,IF(N136="prąd",0,0)))))))</f>
        <v>0</v>
      </c>
      <c r="AD136" s="639">
        <f>IF(N136="węgiel",Q136*'Założenia,wskaźniki, listy'!$C$47,IF(N136="gaz",Q136*'Założenia,wskaźniki, listy'!$D$47,IF(N136="drewno",Q136*'Założenia,wskaźniki, listy'!$E$47,IF(N136="pelet",Q136*'Założenia,wskaźniki, listy'!$G$47,IF(N136="olej opałowy",Q136*'Założenia,wskaźniki, listy'!$G$47,IF(N136="sieć ciepłownicza",0,IF(N136="prąd",0,0)))))))</f>
        <v>0</v>
      </c>
      <c r="AE136" s="639">
        <f>IF(N136="węgiel",Q136*'Założenia,wskaźniki, listy'!$C$48,IF(N136="gaz",Q136*'Założenia,wskaźniki, listy'!$D$48,IF(N136="drewno",Q136*'Założenia,wskaźniki, listy'!$E$48,IF(N136="pelet",Q136*'Założenia,wskaźniki, listy'!$G$48,IF(N136="olej opałowy",Q136*'Założenia,wskaźniki, listy'!$G$48,IF(N136="sieć ciepłownicza",0,IF(N136="prąd",0,0)))))))</f>
        <v>0</v>
      </c>
      <c r="AF136" s="639">
        <f>IF(N136="węgiel",Q136*'Założenia,wskaźniki, listy'!$C$49,IF(N136="gaz",Q136*'Założenia,wskaźniki, listy'!$D$49,IF(N136="drewno",Q136*'Założenia,wskaźniki, listy'!$E$49,IF(N136="pelet",Q136*'Założenia,wskaźniki, listy'!$G$49,IF(N136="olej opałowy",Q136*'Założenia,wskaźniki, listy'!$G$49,IF(N136="sieć ciepłownicza",0,IF(N136="prąd",0,0)))))))</f>
        <v>0</v>
      </c>
      <c r="AG136" s="639">
        <f>IF(N136="węgiel",Q136*'Założenia,wskaźniki, listy'!$C$50,IF(N136="gaz",Q136*'Założenia,wskaźniki, listy'!$D$50,IF(N136="drewno",Q136*'Założenia,wskaźniki, listy'!$E$50,IF(N136="pelet",Q136*'Założenia,wskaźniki, listy'!$G$50,IF(N136="olej opałowy",Q136*'Założenia,wskaźniki, listy'!$G$50,IF(N136="sieć ciepłownicza",0,IF(N136="prąd",0,0)))))))</f>
        <v>0</v>
      </c>
      <c r="AH136" s="640">
        <f>IF(L136="węgiel",(P136+R136)/2*'Założenia,wskaźniki, listy'!$C$4,IF(L136="gaz",(P136+R136)/2*'Założenia,wskaźniki, listy'!$C$5,IF(L136="drewno",(P136+R136)/2*'Założenia,wskaźniki, listy'!$C$6,IF(L136="pelet",(P136+R136)/2*'Założenia,wskaźniki, listy'!$C$7,IF(L136="olej opałowy",(P136+R136)/2*'Założenia,wskaźniki, listy'!$C$8,IF(L136="sieć ciepłownicza",(P136+R136)/2*'Założenia,wskaźniki, listy'!$C$9,IF(L136="sieć ciepłownicza",(P136+R136)/2*'Założenia,wskaźniki, listy'!$C$10,)))))))</f>
        <v>285</v>
      </c>
      <c r="AI136" s="640">
        <f>IF(N136="węgiel",Q136*'Założenia,wskaźniki, listy'!$C$4,IF(N136="gaz",Q136*'Założenia,wskaźniki, listy'!$C$5,IF(N136="drewno",Q136*'Założenia,wskaźniki, listy'!$C$6,IF(N136="pelet",Q136*'Założenia,wskaźniki, listy'!$C$7,IF(N136="olej opałowy",Q136*'Założenia,wskaźniki, listy'!$C$8,IF(N136="sieć ciepłownicza",Q136*'Założenia,wskaźniki, listy'!$C$9,IF(N136="sieć ciepłownicza",Q136*'Założenia,wskaźniki, listy'!$C$10,0)))))))</f>
        <v>0</v>
      </c>
      <c r="AJ136" s="640">
        <f>S136*'Założenia,wskaźniki, listy'!$B$64*1000</f>
        <v>0</v>
      </c>
      <c r="AK136" s="640">
        <f>(H136+I136)*'Założenia,wskaźniki, listy'!$D$64*12</f>
        <v>0</v>
      </c>
      <c r="AL136" s="640">
        <f>AK136*'Założenia,wskaźniki, listy'!$F$64</f>
        <v>0</v>
      </c>
      <c r="AM136" s="639">
        <f t="shared" ref="AM136" si="271">T136+AA136</f>
        <v>7.1999999999999998E-3</v>
      </c>
      <c r="AN136" s="639">
        <f t="shared" ref="AN136" si="272">U136+AB136</f>
        <v>7.0499999999999998E-3</v>
      </c>
      <c r="AO136" s="639">
        <f>V136+AC136+S136*'Założenia,wskaźniki, listy'!$J$46</f>
        <v>0</v>
      </c>
      <c r="AP136" s="639">
        <f t="shared" ref="AP136" si="273">W136+AD136</f>
        <v>1.8150000000000002E-6</v>
      </c>
      <c r="AQ136" s="639">
        <f t="shared" ref="AQ136" si="274">X136+AE136</f>
        <v>1.65E-4</v>
      </c>
      <c r="AR136" s="639">
        <f t="shared" ref="AR136" si="275">Y136+AF136</f>
        <v>1.2000000000000001E-3</v>
      </c>
      <c r="AS136" s="639">
        <f t="shared" ref="AS136" si="276">Z136+AG136</f>
        <v>2.6909999999999998E-3</v>
      </c>
      <c r="AT136" s="647"/>
      <c r="AU136" s="647"/>
      <c r="AV136" s="624">
        <f t="shared" si="241"/>
        <v>0</v>
      </c>
      <c r="AW136" s="624" t="b">
        <f t="shared" si="242"/>
        <v>0</v>
      </c>
      <c r="AX136" s="624" t="b">
        <f t="shared" si="243"/>
        <v>0</v>
      </c>
      <c r="AY136" s="624" t="b">
        <f t="shared" si="244"/>
        <v>0</v>
      </c>
      <c r="AZ136" s="624" t="b">
        <f t="shared" si="245"/>
        <v>0</v>
      </c>
      <c r="BA136" s="624" t="b">
        <f t="shared" si="246"/>
        <v>0</v>
      </c>
      <c r="BB136" s="624" t="b">
        <f t="shared" si="247"/>
        <v>0</v>
      </c>
      <c r="BC136" s="624" t="b">
        <f t="shared" si="248"/>
        <v>0</v>
      </c>
      <c r="BD136" s="624" t="b">
        <f t="shared" si="249"/>
        <v>0</v>
      </c>
      <c r="BE136" s="624" t="b">
        <f t="shared" si="250"/>
        <v>0</v>
      </c>
      <c r="BF136" s="624" t="b">
        <f t="shared" si="251"/>
        <v>0</v>
      </c>
      <c r="BG136" s="624" t="b">
        <f t="shared" si="252"/>
        <v>0</v>
      </c>
      <c r="BH136" s="624">
        <f t="shared" si="253"/>
        <v>15</v>
      </c>
      <c r="BI136" s="624" t="b">
        <f t="shared" si="254"/>
        <v>0</v>
      </c>
      <c r="BJ136" s="624" t="b">
        <f t="shared" si="255"/>
        <v>0</v>
      </c>
      <c r="BK136" s="624" t="b">
        <f t="shared" si="256"/>
        <v>0</v>
      </c>
      <c r="BL136" s="624" t="b">
        <f t="shared" si="257"/>
        <v>0</v>
      </c>
      <c r="BM136" s="624" t="b">
        <f t="shared" si="258"/>
        <v>0</v>
      </c>
      <c r="BN136" s="624" t="b">
        <f t="shared" si="259"/>
        <v>0</v>
      </c>
      <c r="BO136" s="624" t="b">
        <f t="shared" si="260"/>
        <v>0</v>
      </c>
      <c r="BP136" s="624" t="b">
        <f t="shared" si="261"/>
        <v>0</v>
      </c>
      <c r="BQ136" s="624" t="b">
        <f t="shared" si="262"/>
        <v>0</v>
      </c>
    </row>
    <row r="137" spans="1:69">
      <c r="A137" s="1086">
        <v>67</v>
      </c>
      <c r="B137" s="872" t="s">
        <v>21</v>
      </c>
      <c r="C137" s="873" t="s">
        <v>634</v>
      </c>
      <c r="D137" s="645"/>
      <c r="E137" s="645">
        <v>18</v>
      </c>
      <c r="F137" s="644">
        <v>1950</v>
      </c>
      <c r="G137" s="644">
        <v>80</v>
      </c>
      <c r="H137" s="644"/>
      <c r="I137" s="635"/>
      <c r="J137" s="644">
        <f>IF(F137&lt;=1966,'Założenia,wskaźniki, listy'!$H$4,IF(F137&gt;1966,IF(F137&lt;=1985,'Założenia,wskaźniki, listy'!$H$5,IF(F137&gt;1985,IF(F137&lt;=1992,'Założenia,wskaźniki, listy'!$H$6,IF(F137&gt;1992,IF(F137&lt;=1996,'Założenia,wskaźniki, listy'!$H$7,IF(F137&gt;1996,IF(F137&lt;=2015,'Założenia,wskaźniki, listy'!$H$8)))))))))</f>
        <v>290</v>
      </c>
      <c r="K137" s="864" t="s">
        <v>31</v>
      </c>
      <c r="L137" s="644" t="s">
        <v>8</v>
      </c>
      <c r="M137" s="644">
        <v>2</v>
      </c>
      <c r="N137" s="644"/>
      <c r="O137" s="637">
        <f t="shared" si="240"/>
        <v>64.37</v>
      </c>
      <c r="P137" s="646">
        <f>IF(K137="kompletna",J137*G137*0.0036*'Założenia,wskaźniki, listy'!$P$9,IF(K137="częściowa",J137*G137*0.0036*'Założenia,wskaźniki, listy'!$P$10,IF(K137="brak",J137*G137*0.0036*'Założenia,wskaźniki, listy'!$P$11,0)))</f>
        <v>83.52</v>
      </c>
      <c r="Q137" s="638">
        <f>H137*'Założenia,wskaźniki, listy'!$L$15</f>
        <v>0</v>
      </c>
      <c r="R137" s="635">
        <f>IF(L137="węgiel",'Mieszkalne - baza'!M137*'Założenia,wskaźniki, listy'!$B$4,IF(L137="gaz",'Mieszkalne - baza'!M137*'Założenia,wskaźniki, listy'!$B$5,IF(L137="drewno",'Mieszkalne - baza'!M137*'Założenia,wskaźniki, listy'!$B$6,IF(L137="pelet",'Mieszkalne - baza'!M137*'Założenia,wskaźniki, listy'!$B$7,IF(L137="olej opałowy",'Mieszkalne - baza'!M137*'Założenia,wskaźniki, listy'!$B$8,IF(L137="sieć ciepłownicza",0,0))))))</f>
        <v>45.22</v>
      </c>
      <c r="S137" s="1084">
        <v>1.6355999999999999</v>
      </c>
      <c r="T137" s="639">
        <f>IF(L137="węgiel",R137*'Założenia,wskaźniki, listy'!$C$44,IF(L137="gaz",R137*'Założenia,wskaźniki, listy'!$D$44,IF(L137="drewno",R137*'Założenia,wskaźniki, listy'!$E$44,IF(L137="pelet",R137*'Założenia,wskaźniki, listy'!$F$44,IF(L137="olej opałowy",R137*'Założenia,wskaźniki, listy'!$G$44,IF(L137="sieć ciepłownicza",0,IF(L137="prąd",0,0)))))))</f>
        <v>1.01745E-2</v>
      </c>
      <c r="U137" s="639">
        <f>IF(L137="węgiel",R137*'Założenia,wskaźniki, listy'!$C$45,IF(L137="gaz",R137*'Założenia,wskaźniki, listy'!$D$45,IF(L137="drewno",R137*'Założenia,wskaźniki, listy'!$E$45,IF(L137="pelet",R137*'Założenia,wskaźniki, listy'!$F$45,IF(L137="olej opałowy",R137*'Założenia,wskaźniki, listy'!$G$45,IF(L137="sieć ciepłownicza",0,IF(L137="prąd",0,0)))))))</f>
        <v>9.0892200000000003E-3</v>
      </c>
      <c r="V137" s="639">
        <f>IF(L137="węgiel",R137*'Założenia,wskaźniki, listy'!$C$46,IF(L137="gaz",R137*'Założenia,wskaźniki, listy'!$D$46,IF(L137="drewno",R137*'Założenia,wskaźniki, listy'!$E$46,IF(L137="pelet",R137*'Założenia,wskaźniki, listy'!$F$46,IF(L137="olej opałowy",R137*'Założenia,wskaźniki, listy'!$G$46,IF(L137="sieć ciepłownicza",R137*'Założenia,wskaźniki, listy'!$H$46,IF(L137="prąd",R137*'Założenia,wskaźniki, listy'!$I$46,0)))))))</f>
        <v>4.2389227999999992</v>
      </c>
      <c r="W137" s="639">
        <f>IF(L137="węgiel",R137*'Założenia,wskaźniki, listy'!$C$47,IF(L137="gaz",R137*'Założenia,wskaźniki, listy'!$D$47,IF(L137="drewno",R137*'Założenia,wskaźniki, listy'!$E$47,IF(L137="pelet",R137*'Założenia,wskaźniki, listy'!$F$47,IF(L137="olej opałowy",R137*'Założenia,wskaźniki, listy'!$G$47,IF(L137="sieć ciepłownicza",0,IF(L137="prąd",0,0)))))))</f>
        <v>1.22094E-5</v>
      </c>
      <c r="X137" s="639">
        <f>IF(L137="węgiel",R137*'Założenia,wskaźniki, listy'!$C$48, IF(L137="gaz",R137*'Założenia,wskaźniki, listy'!$D$48,IF(L137="drewno",R137*'Założenia,wskaźniki, listy'!$E$48,IF(L137="pelet",R137*'Założenia,wskaźniki, listy'!$F$48,IF(L137="olej opałowy",R137*'Założenia,wskaźniki, listy'!$G$48,IF(L137="sieć ciepłownicza",0,IF(L137="prąd",0,0)))))))</f>
        <v>4.0697999999999998E-2</v>
      </c>
      <c r="Y137" s="639">
        <f>IF(L137="węgiel",R137*'Założenia,wskaźniki, listy'!$C$49, IF(L137="gaz",R137*'Założenia,wskaźniki, listy'!$D$49, IF(L137="drewno",R137*'Założenia,wskaźniki, listy'!$E$49,IF(L137="pelet",R137*'Założenia,wskaźniki, listy'!$F$49,IF(L137="olej opałowy",R137*'Założenia,wskaźniki, listy'!$G$49,IF(L137="sieć ciepłownicza",0,IF(L137="prąd",0,0)))))))</f>
        <v>7.1447599999999991E-3</v>
      </c>
      <c r="Z137" s="639">
        <f>IF(L137="węgiel",R137*'Założenia,wskaźniki, listy'!$C$50,IF(L137="gaz",R137*'Założenia,wskaźniki, listy'!$D$50, IF(L137="drewno",R137*'Założenia,wskaźniki, listy'!$E$50,IF(L137="pelet",R137*'Założenia,wskaźniki, listy'!$F$50,IF(L137="pelet",R137*'Założenia,wskaźniki, listy'!$F$50,IF(L137="olej opałowy",R137*'Założenia,wskaźniki, listy'!$G$50,IF(L137="sieć ciepłownicza",0,IF(L137="prąd",0,0))))))))</f>
        <v>9.0965578900312913E-2</v>
      </c>
      <c r="AA137" s="639">
        <f>IF(N137="węgiel",Q137*'Założenia,wskaźniki, listy'!$C$44,IF(N137="gaz",Q137*'Założenia,wskaźniki, listy'!$D$44,IF(N137="drewno",Q137*'Założenia,wskaźniki, listy'!$E$44,IF(N137="pelet",Q137*'Założenia,wskaźniki, listy'!$G$44,IF(N137="olej opałowy",Q137*'Założenia,wskaźniki, listy'!$G$44,IF(N137="sieć ciepłownicza",0,IF(N137="prąd",0,0)))))))</f>
        <v>0</v>
      </c>
      <c r="AB137" s="639">
        <f>IF(N137="węgiel",Q137*'Założenia,wskaźniki, listy'!$C$45,IF(N137="gaz",Q137*'Założenia,wskaźniki, listy'!$D$45,IF(N137="drewno",Q137*'Założenia,wskaźniki, listy'!$E$45,IF(N137="pelet",Q137*'Założenia,wskaźniki, listy'!$G$45,IF(N137="olej opałowy",Q137*'Założenia,wskaźniki, listy'!$G$45,IF(N137="sieć ciepłownicza",0,IF(N137="prąd",0,0)))))))</f>
        <v>0</v>
      </c>
      <c r="AC137" s="639">
        <f>IF(N137="węgiel",Q137*'Założenia,wskaźniki, listy'!$C$46,IF(N137="gaz",Q137*'Założenia,wskaźniki, listy'!$D$46,IF(N137="drewno",Q137*'Założenia,wskaźniki, listy'!$E$46,IF(N137="pelet",Q137*'Założenia,wskaźniki, listy'!$G$46,IF(N137="olej opałowy",Q137*'Założenia,wskaźniki, listy'!$G$46,IF(N137="sieć ciepłownicza",0,IF(N137="prąd",0,0)))))))</f>
        <v>0</v>
      </c>
      <c r="AD137" s="639">
        <f>IF(N137="węgiel",Q137*'Założenia,wskaźniki, listy'!$C$47,IF(N137="gaz",Q137*'Założenia,wskaźniki, listy'!$D$47,IF(N137="drewno",Q137*'Założenia,wskaźniki, listy'!$E$47,IF(N137="pelet",Q137*'Założenia,wskaźniki, listy'!$G$47,IF(N137="olej opałowy",Q137*'Założenia,wskaźniki, listy'!$G$47,IF(N137="sieć ciepłownicza",0,IF(N137="prąd",0,0)))))))</f>
        <v>0</v>
      </c>
      <c r="AE137" s="639">
        <f>IF(N137="węgiel",Q137*'Założenia,wskaźniki, listy'!$C$48,IF(N137="gaz",Q137*'Założenia,wskaźniki, listy'!$D$48,IF(N137="drewno",Q137*'Założenia,wskaźniki, listy'!$E$48,IF(N137="pelet",Q137*'Założenia,wskaźniki, listy'!$G$48,IF(N137="olej opałowy",Q137*'Założenia,wskaźniki, listy'!$G$48,IF(N137="sieć ciepłownicza",0,IF(N137="prąd",0,0)))))))</f>
        <v>0</v>
      </c>
      <c r="AF137" s="639">
        <f>IF(N137="węgiel",Q137*'Założenia,wskaźniki, listy'!$C$49,IF(N137="gaz",Q137*'Założenia,wskaźniki, listy'!$D$49,IF(N137="drewno",Q137*'Założenia,wskaźniki, listy'!$E$49,IF(N137="pelet",Q137*'Założenia,wskaźniki, listy'!$G$49,IF(N137="olej opałowy",Q137*'Założenia,wskaźniki, listy'!$G$49,IF(N137="sieć ciepłownicza",0,IF(N137="prąd",0,0)))))))</f>
        <v>0</v>
      </c>
      <c r="AG137" s="639">
        <f>IF(N137="węgiel",Q137*'Założenia,wskaźniki, listy'!$C$50,IF(N137="gaz",Q137*'Założenia,wskaźniki, listy'!$D$50,IF(N137="drewno",Q137*'Założenia,wskaźniki, listy'!$E$50,IF(N137="pelet",Q137*'Założenia,wskaźniki, listy'!$G$50,IF(N137="olej opałowy",Q137*'Założenia,wskaźniki, listy'!$G$50,IF(N137="sieć ciepłownicza",0,IF(N137="prąd",0,0)))))))</f>
        <v>0</v>
      </c>
      <c r="AH137" s="640">
        <f>IF(L137="węgiel",(P137+R137)/2*'Założenia,wskaźniki, listy'!$C$4,IF(L137="gaz",(P137+R137)/2*'Założenia,wskaźniki, listy'!$C$5,IF(L137="drewno",(P137+R137)/2*'Założenia,wskaźniki, listy'!$C$6,IF(L137="pelet",(P137+R137)/2*'Założenia,wskaźniki, listy'!$C$7,IF(L137="olej opałowy",(P137+R137)/2*'Założenia,wskaźniki, listy'!$C$8,IF(L137="sieć ciepłownicza",(P137+R137)/2*'Założenia,wskaźniki, listy'!$C$9,IF(L137="sieć ciepłownicza",(P137+R137)/2*'Założenia,wskaźniki, listy'!$C$10,)))))))</f>
        <v>2639.17</v>
      </c>
      <c r="AI137" s="640">
        <f>IF(N137="węgiel",Q137*'Założenia,wskaźniki, listy'!$C$4,IF(N137="gaz",Q137*'Założenia,wskaźniki, listy'!$C$5,IF(N137="drewno",Q137*'Założenia,wskaźniki, listy'!$C$6,IF(N137="pelet",Q137*'Założenia,wskaźniki, listy'!$C$7,IF(N137="olej opałowy",Q137*'Założenia,wskaźniki, listy'!$C$8,IF(N137="sieć ciepłownicza",Q137*'Założenia,wskaźniki, listy'!$C$9,IF(N137="sieć ciepłownicza",Q137*'Założenia,wskaźniki, listy'!$C$10,0)))))))</f>
        <v>0</v>
      </c>
      <c r="AJ137" s="640">
        <f>S137*'Założenia,wskaźniki, listy'!$B$64*1000</f>
        <v>1161.2760000000001</v>
      </c>
      <c r="AK137" s="640">
        <f>(H137+I137)*'Założenia,wskaźniki, listy'!$D$64*12</f>
        <v>0</v>
      </c>
      <c r="AL137" s="640">
        <f>AK137*'Założenia,wskaźniki, listy'!$F$64</f>
        <v>0</v>
      </c>
      <c r="AM137" s="639">
        <f t="shared" si="206"/>
        <v>1.01745E-2</v>
      </c>
      <c r="AN137" s="639">
        <f t="shared" si="207"/>
        <v>9.0892200000000003E-3</v>
      </c>
      <c r="AO137" s="639">
        <f>V137+AC137+S137*'Założenia,wskaźniki, listy'!$J$46</f>
        <v>5.598924199999999</v>
      </c>
      <c r="AP137" s="639">
        <f t="shared" si="208"/>
        <v>1.22094E-5</v>
      </c>
      <c r="AQ137" s="639">
        <f t="shared" si="209"/>
        <v>4.0697999999999998E-2</v>
      </c>
      <c r="AR137" s="639">
        <f t="shared" si="210"/>
        <v>7.1447599999999991E-3</v>
      </c>
      <c r="AS137" s="639">
        <f t="shared" si="211"/>
        <v>9.0965578900312913E-2</v>
      </c>
      <c r="AT137" s="647"/>
      <c r="AU137" s="647"/>
      <c r="AV137" s="624">
        <f t="shared" si="241"/>
        <v>80</v>
      </c>
      <c r="AW137" s="624" t="b">
        <f t="shared" si="242"/>
        <v>0</v>
      </c>
      <c r="AX137" s="624" t="b">
        <f t="shared" si="243"/>
        <v>0</v>
      </c>
      <c r="AY137" s="624" t="b">
        <f t="shared" si="244"/>
        <v>0</v>
      </c>
      <c r="AZ137" s="624" t="b">
        <f t="shared" si="245"/>
        <v>0</v>
      </c>
      <c r="BA137" s="624" t="b">
        <f t="shared" si="246"/>
        <v>0</v>
      </c>
      <c r="BB137" s="624" t="b">
        <f t="shared" si="247"/>
        <v>0</v>
      </c>
      <c r="BC137" s="624" t="b">
        <f t="shared" si="248"/>
        <v>0</v>
      </c>
      <c r="BD137" s="624" t="b">
        <f t="shared" si="249"/>
        <v>0</v>
      </c>
      <c r="BE137" s="624" t="b">
        <f t="shared" si="250"/>
        <v>0</v>
      </c>
      <c r="BF137" s="624">
        <f t="shared" si="251"/>
        <v>45.22</v>
      </c>
      <c r="BG137" s="624" t="b">
        <f t="shared" si="252"/>
        <v>0</v>
      </c>
      <c r="BH137" s="624" t="b">
        <f t="shared" si="253"/>
        <v>0</v>
      </c>
      <c r="BI137" s="624" t="b">
        <f t="shared" si="254"/>
        <v>0</v>
      </c>
      <c r="BJ137" s="624" t="b">
        <f t="shared" si="255"/>
        <v>0</v>
      </c>
      <c r="BK137" s="624" t="b">
        <f t="shared" si="256"/>
        <v>0</v>
      </c>
      <c r="BL137" s="624" t="b">
        <f t="shared" si="257"/>
        <v>0</v>
      </c>
      <c r="BM137" s="624" t="b">
        <f t="shared" si="258"/>
        <v>0</v>
      </c>
      <c r="BN137" s="624" t="b">
        <f t="shared" si="259"/>
        <v>0</v>
      </c>
      <c r="BO137" s="624" t="b">
        <f t="shared" si="260"/>
        <v>0</v>
      </c>
      <c r="BP137" s="624" t="b">
        <f t="shared" si="261"/>
        <v>0</v>
      </c>
      <c r="BQ137" s="624" t="b">
        <f t="shared" si="262"/>
        <v>0</v>
      </c>
    </row>
    <row r="138" spans="1:69" ht="8.25" customHeight="1">
      <c r="A138" s="1087"/>
      <c r="B138" s="872"/>
      <c r="C138" s="872"/>
      <c r="D138" s="645"/>
      <c r="E138" s="645"/>
      <c r="F138" s="644"/>
      <c r="G138" s="644"/>
      <c r="H138" s="644"/>
      <c r="I138" s="635"/>
      <c r="J138" s="644">
        <f>IF(F138&lt;=1966,'Założenia,wskaźniki, listy'!$H$4,IF(F138&gt;1966,IF(F138&lt;=1985,'Założenia,wskaźniki, listy'!$H$5,IF(F138&gt;1985,IF(F138&lt;=1992,'Założenia,wskaźniki, listy'!$H$6,IF(F138&gt;1992,IF(F138&lt;=1996,'Założenia,wskaźniki, listy'!$H$7,IF(F138&gt;1996,IF(F138&lt;=2015,'Założenia,wskaźniki, listy'!$H$8)))))))))</f>
        <v>290</v>
      </c>
      <c r="K138" s="864"/>
      <c r="L138" s="644" t="s">
        <v>79</v>
      </c>
      <c r="M138" s="644">
        <v>1.5</v>
      </c>
      <c r="N138" s="644"/>
      <c r="O138" s="637">
        <f t="shared" si="240"/>
        <v>22.5</v>
      </c>
      <c r="P138" s="646">
        <f>IF(K138="kompletna",J138*G138*0.0036*'Założenia,wskaźniki, listy'!$P$9,IF(K138="częściowa",J138*G138*0.0036*'Założenia,wskaźniki, listy'!$P$10,IF(K138="brak",J138*G138*0.0036*'Założenia,wskaźniki, listy'!$P$11,0)))</f>
        <v>0</v>
      </c>
      <c r="Q138" s="638">
        <f>H138*'Założenia,wskaźniki, listy'!$L$15</f>
        <v>0</v>
      </c>
      <c r="R138" s="635">
        <f>IF(L138="węgiel",'Mieszkalne - baza'!M138*'Założenia,wskaźniki, listy'!$B$4,IF(L138="gaz",'Mieszkalne - baza'!M138*'Założenia,wskaźniki, listy'!$B$5,IF(L138="drewno",'Mieszkalne - baza'!M138*'Założenia,wskaźniki, listy'!$B$6,IF(L138="pelet",'Mieszkalne - baza'!M138*'Założenia,wskaźniki, listy'!$B$7,IF(L138="olej opałowy",'Mieszkalne - baza'!M138*'Założenia,wskaźniki, listy'!$B$8,IF(L138="sieć ciepłownicza",0,0))))))</f>
        <v>22.5</v>
      </c>
      <c r="S138" s="1085"/>
      <c r="T138" s="639">
        <f>IF(L138="węgiel",R138*'Założenia,wskaźniki, listy'!$C$44,IF(L138="gaz",R138*'Założenia,wskaźniki, listy'!$D$44,IF(L138="drewno",R138*'Założenia,wskaźniki, listy'!$E$44,IF(L138="pelet",R138*'Założenia,wskaźniki, listy'!$F$44,IF(L138="olej opałowy",R138*'Założenia,wskaźniki, listy'!$G$44,IF(L138="sieć ciepłownicza",0,IF(L138="prąd",0,0)))))))</f>
        <v>1.0800000000000001E-2</v>
      </c>
      <c r="U138" s="639">
        <f>IF(L138="węgiel",R138*'Założenia,wskaźniki, listy'!$C$45,IF(L138="gaz",R138*'Założenia,wskaźniki, listy'!$D$45,IF(L138="drewno",R138*'Założenia,wskaźniki, listy'!$E$45,IF(L138="pelet",R138*'Założenia,wskaźniki, listy'!$F$45,IF(L138="olej opałowy",R138*'Założenia,wskaźniki, listy'!$G$45,IF(L138="sieć ciepłownicza",0,IF(L138="prąd",0,0)))))))</f>
        <v>1.0574999999999999E-2</v>
      </c>
      <c r="V138" s="639">
        <f>IF(L138="węgiel",R138*'Założenia,wskaźniki, listy'!$C$46,IF(L138="gaz",R138*'Założenia,wskaźniki, listy'!$D$46,IF(L138="drewno",R138*'Założenia,wskaźniki, listy'!$E$46,IF(L138="pelet",R138*'Założenia,wskaźniki, listy'!$F$46,IF(L138="olej opałowy",R138*'Założenia,wskaźniki, listy'!$G$46,IF(L138="sieć ciepłownicza",R138*'Założenia,wskaźniki, listy'!$H$46,IF(L138="prąd",R138*'Założenia,wskaźniki, listy'!$I$46,0)))))))</f>
        <v>0</v>
      </c>
      <c r="W138" s="639">
        <f>IF(L138="węgiel",R138*'Założenia,wskaźniki, listy'!$C$47,IF(L138="gaz",R138*'Założenia,wskaźniki, listy'!$D$47,IF(L138="drewno",R138*'Założenia,wskaźniki, listy'!$E$47,IF(L138="pelet",R138*'Założenia,wskaźniki, listy'!$F$47,IF(L138="olej opałowy",R138*'Założenia,wskaźniki, listy'!$G$47,IF(L138="sieć ciepłownicza",0,IF(L138="prąd",0,0)))))))</f>
        <v>2.7225000000000002E-6</v>
      </c>
      <c r="X138" s="639">
        <f>IF(L138="węgiel",R138*'Założenia,wskaźniki, listy'!$C$48, IF(L138="gaz",R138*'Założenia,wskaźniki, listy'!$D$48,IF(L138="drewno",R138*'Założenia,wskaźniki, listy'!$E$48,IF(L138="pelet",R138*'Założenia,wskaźniki, listy'!$F$48,IF(L138="olej opałowy",R138*'Założenia,wskaźniki, listy'!$G$48,IF(L138="sieć ciepłownicza",0,IF(L138="prąd",0,0)))))))</f>
        <v>2.475E-4</v>
      </c>
      <c r="Y138" s="639">
        <f>IF(L138="węgiel",R138*'Założenia,wskaźniki, listy'!$C$49, IF(L138="gaz",R138*'Założenia,wskaźniki, listy'!$D$49, IF(L138="drewno",R138*'Założenia,wskaźniki, listy'!$E$49,IF(L138="pelet",R138*'Założenia,wskaźniki, listy'!$F$49,IF(L138="olej opałowy",R138*'Założenia,wskaźniki, listy'!$G$49,IF(L138="sieć ciepłownicza",0,IF(L138="prąd",0,0)))))))</f>
        <v>1.8000000000000002E-3</v>
      </c>
      <c r="Z138" s="639">
        <f>IF(L138="węgiel",R138*'Założenia,wskaźniki, listy'!$C$50,IF(L138="gaz",R138*'Założenia,wskaźniki, listy'!$D$50, IF(L138="drewno",R138*'Założenia,wskaźniki, listy'!$E$50,IF(L138="pelet",R138*'Założenia,wskaźniki, listy'!$F$50,IF(L138="pelet",R138*'Założenia,wskaźniki, listy'!$F$50,IF(L138="olej opałowy",R138*'Założenia,wskaźniki, listy'!$G$50,IF(L138="sieć ciepłownicza",0,IF(L138="prąd",0,0))))))))</f>
        <v>4.0365000000000002E-3</v>
      </c>
      <c r="AA138" s="639">
        <f>IF(N138="węgiel",Q138*'Założenia,wskaźniki, listy'!$C$44,IF(N138="gaz",Q138*'Założenia,wskaźniki, listy'!$D$44,IF(N138="drewno",Q138*'Założenia,wskaźniki, listy'!$E$44,IF(N138="pelet",Q138*'Założenia,wskaźniki, listy'!$G$44,IF(N138="olej opałowy",Q138*'Założenia,wskaźniki, listy'!$G$44,IF(N138="sieć ciepłownicza",0,IF(N138="prąd",0,0)))))))</f>
        <v>0</v>
      </c>
      <c r="AB138" s="639">
        <f>IF(N138="węgiel",Q138*'Założenia,wskaźniki, listy'!$C$45,IF(N138="gaz",Q138*'Założenia,wskaźniki, listy'!$D$45,IF(N138="drewno",Q138*'Założenia,wskaźniki, listy'!$E$45,IF(N138="pelet",Q138*'Założenia,wskaźniki, listy'!$G$45,IF(N138="olej opałowy",Q138*'Założenia,wskaźniki, listy'!$G$45,IF(N138="sieć ciepłownicza",0,IF(N138="prąd",0,0)))))))</f>
        <v>0</v>
      </c>
      <c r="AC138" s="639">
        <f>IF(N138="węgiel",Q138*'Założenia,wskaźniki, listy'!$C$46,IF(N138="gaz",Q138*'Założenia,wskaźniki, listy'!$D$46,IF(N138="drewno",Q138*'Założenia,wskaźniki, listy'!$E$46,IF(N138="pelet",Q138*'Założenia,wskaźniki, listy'!$G$46,IF(N138="olej opałowy",Q138*'Założenia,wskaźniki, listy'!$G$46,IF(N138="sieć ciepłownicza",0,IF(N138="prąd",0,0)))))))</f>
        <v>0</v>
      </c>
      <c r="AD138" s="639">
        <f>IF(N138="węgiel",Q138*'Założenia,wskaźniki, listy'!$C$47,IF(N138="gaz",Q138*'Założenia,wskaźniki, listy'!$D$47,IF(N138="drewno",Q138*'Założenia,wskaźniki, listy'!$E$47,IF(N138="pelet",Q138*'Założenia,wskaźniki, listy'!$G$47,IF(N138="olej opałowy",Q138*'Założenia,wskaźniki, listy'!$G$47,IF(N138="sieć ciepłownicza",0,IF(N138="prąd",0,0)))))))</f>
        <v>0</v>
      </c>
      <c r="AE138" s="639">
        <f>IF(N138="węgiel",Q138*'Założenia,wskaźniki, listy'!$C$48,IF(N138="gaz",Q138*'Założenia,wskaźniki, listy'!$D$48,IF(N138="drewno",Q138*'Założenia,wskaźniki, listy'!$E$48,IF(N138="pelet",Q138*'Założenia,wskaźniki, listy'!$G$48,IF(N138="olej opałowy",Q138*'Założenia,wskaźniki, listy'!$G$48,IF(N138="sieć ciepłownicza",0,IF(N138="prąd",0,0)))))))</f>
        <v>0</v>
      </c>
      <c r="AF138" s="639">
        <f>IF(N138="węgiel",Q138*'Założenia,wskaźniki, listy'!$C$49,IF(N138="gaz",Q138*'Założenia,wskaźniki, listy'!$D$49,IF(N138="drewno",Q138*'Założenia,wskaźniki, listy'!$E$49,IF(N138="pelet",Q138*'Założenia,wskaźniki, listy'!$G$49,IF(N138="olej opałowy",Q138*'Założenia,wskaźniki, listy'!$G$49,IF(N138="sieć ciepłownicza",0,IF(N138="prąd",0,0)))))))</f>
        <v>0</v>
      </c>
      <c r="AG138" s="639">
        <f>IF(N138="węgiel",Q138*'Założenia,wskaźniki, listy'!$C$50,IF(N138="gaz",Q138*'Założenia,wskaźniki, listy'!$D$50,IF(N138="drewno",Q138*'Założenia,wskaźniki, listy'!$E$50,IF(N138="pelet",Q138*'Założenia,wskaźniki, listy'!$G$50,IF(N138="olej opałowy",Q138*'Założenia,wskaźniki, listy'!$G$50,IF(N138="sieć ciepłownicza",0,IF(N138="prąd",0,0)))))))</f>
        <v>0</v>
      </c>
      <c r="AH138" s="640">
        <f>IF(L138="węgiel",(P138+R138)/2*'Założenia,wskaźniki, listy'!$C$4,IF(L138="gaz",(P138+R138)/2*'Założenia,wskaźniki, listy'!$C$5,IF(L138="drewno",(P138+R138)/2*'Założenia,wskaźniki, listy'!$C$6,IF(L138="pelet",(P138+R138)/2*'Założenia,wskaźniki, listy'!$C$7,IF(L138="olej opałowy",(P138+R138)/2*'Założenia,wskaźniki, listy'!$C$8,IF(L138="sieć ciepłownicza",(P138+R138)/2*'Założenia,wskaźniki, listy'!$C$9,IF(L138="sieć ciepłownicza",(P138+R138)/2*'Założenia,wskaźniki, listy'!$C$10,)))))))</f>
        <v>427.5</v>
      </c>
      <c r="AI138" s="640">
        <f>IF(N138="węgiel",Q138*'Założenia,wskaźniki, listy'!$C$4,IF(N138="gaz",Q138*'Założenia,wskaźniki, listy'!$C$5,IF(N138="drewno",Q138*'Założenia,wskaźniki, listy'!$C$6,IF(N138="pelet",Q138*'Założenia,wskaźniki, listy'!$C$7,IF(N138="olej opałowy",Q138*'Założenia,wskaźniki, listy'!$C$8,IF(N138="sieć ciepłownicza",Q138*'Założenia,wskaźniki, listy'!$C$9,IF(N138="sieć ciepłownicza",Q138*'Założenia,wskaźniki, listy'!$C$10,0)))))))</f>
        <v>0</v>
      </c>
      <c r="AJ138" s="640">
        <f>S138*'Założenia,wskaźniki, listy'!$B$64*1000</f>
        <v>0</v>
      </c>
      <c r="AK138" s="640">
        <f>(H138+I138)*'Założenia,wskaźniki, listy'!$D$64*12</f>
        <v>0</v>
      </c>
      <c r="AL138" s="640">
        <f>AK138*'Założenia,wskaźniki, listy'!$F$64</f>
        <v>0</v>
      </c>
      <c r="AM138" s="639">
        <f t="shared" si="206"/>
        <v>1.0800000000000001E-2</v>
      </c>
      <c r="AN138" s="639">
        <f t="shared" si="207"/>
        <v>1.0574999999999999E-2</v>
      </c>
      <c r="AO138" s="639">
        <f>V138+AC138+S138*'Założenia,wskaźniki, listy'!$J$46</f>
        <v>0</v>
      </c>
      <c r="AP138" s="639">
        <f t="shared" si="208"/>
        <v>2.7225000000000002E-6</v>
      </c>
      <c r="AQ138" s="639">
        <f t="shared" si="209"/>
        <v>2.475E-4</v>
      </c>
      <c r="AR138" s="639">
        <f t="shared" si="210"/>
        <v>1.8000000000000002E-3</v>
      </c>
      <c r="AS138" s="639">
        <f t="shared" si="211"/>
        <v>4.0365000000000002E-3</v>
      </c>
      <c r="AT138" s="647"/>
      <c r="AU138" s="647"/>
      <c r="AV138" s="624">
        <f t="shared" si="241"/>
        <v>0</v>
      </c>
      <c r="AW138" s="624" t="b">
        <f t="shared" si="242"/>
        <v>0</v>
      </c>
      <c r="AX138" s="624" t="b">
        <f t="shared" si="243"/>
        <v>0</v>
      </c>
      <c r="AY138" s="624" t="b">
        <f t="shared" si="244"/>
        <v>0</v>
      </c>
      <c r="AZ138" s="624" t="b">
        <f t="shared" si="245"/>
        <v>0</v>
      </c>
      <c r="BA138" s="624" t="b">
        <f t="shared" si="246"/>
        <v>0</v>
      </c>
      <c r="BB138" s="624" t="b">
        <f t="shared" si="247"/>
        <v>0</v>
      </c>
      <c r="BC138" s="624" t="b">
        <f t="shared" si="248"/>
        <v>0</v>
      </c>
      <c r="BD138" s="624" t="b">
        <f t="shared" si="249"/>
        <v>0</v>
      </c>
      <c r="BE138" s="624" t="b">
        <f t="shared" si="250"/>
        <v>0</v>
      </c>
      <c r="BF138" s="624" t="b">
        <f t="shared" si="251"/>
        <v>0</v>
      </c>
      <c r="BG138" s="624" t="b">
        <f t="shared" si="252"/>
        <v>0</v>
      </c>
      <c r="BH138" s="624">
        <f t="shared" si="253"/>
        <v>22.5</v>
      </c>
      <c r="BI138" s="624" t="b">
        <f t="shared" si="254"/>
        <v>0</v>
      </c>
      <c r="BJ138" s="624" t="b">
        <f t="shared" si="255"/>
        <v>0</v>
      </c>
      <c r="BK138" s="624" t="b">
        <f t="shared" si="256"/>
        <v>0</v>
      </c>
      <c r="BL138" s="624" t="b">
        <f t="shared" si="257"/>
        <v>0</v>
      </c>
      <c r="BM138" s="624" t="b">
        <f t="shared" si="258"/>
        <v>0</v>
      </c>
      <c r="BN138" s="624" t="b">
        <f t="shared" si="259"/>
        <v>0</v>
      </c>
      <c r="BO138" s="624" t="b">
        <f t="shared" si="260"/>
        <v>0</v>
      </c>
      <c r="BP138" s="624" t="b">
        <f t="shared" si="261"/>
        <v>0</v>
      </c>
      <c r="BQ138" s="624" t="b">
        <f t="shared" si="262"/>
        <v>0</v>
      </c>
    </row>
    <row r="139" spans="1:69">
      <c r="A139" s="1086">
        <v>68</v>
      </c>
      <c r="B139" s="872" t="s">
        <v>21</v>
      </c>
      <c r="C139" s="873" t="s">
        <v>634</v>
      </c>
      <c r="D139" s="645"/>
      <c r="E139" s="645" t="s">
        <v>638</v>
      </c>
      <c r="F139" s="644">
        <v>1992</v>
      </c>
      <c r="G139" s="644">
        <v>140</v>
      </c>
      <c r="H139" s="644"/>
      <c r="I139" s="635"/>
      <c r="J139" s="644">
        <f>IF(F139&lt;=1966,'Założenia,wskaźniki, listy'!$H$4,IF(F139&gt;1966,IF(F139&lt;=1985,'Założenia,wskaźniki, listy'!$H$5,IF(F139&gt;1985,IF(F139&lt;=1992,'Założenia,wskaźniki, listy'!$H$6,IF(F139&gt;1992,IF(F139&lt;=1996,'Założenia,wskaźniki, listy'!$H$7,IF(F139&gt;1996,IF(F139&lt;=2015,'Założenia,wskaźniki, listy'!$H$8)))))))))</f>
        <v>175</v>
      </c>
      <c r="K139" s="864" t="s">
        <v>31</v>
      </c>
      <c r="L139" s="644" t="s">
        <v>8</v>
      </c>
      <c r="M139" s="644">
        <v>3.5</v>
      </c>
      <c r="N139" s="644"/>
      <c r="O139" s="637">
        <f t="shared" si="240"/>
        <v>83.66749999999999</v>
      </c>
      <c r="P139" s="646">
        <f>IF(K139="kompletna",J139*G139*0.0036*'Założenia,wskaźniki, listy'!$P$9,IF(K139="częściowa",J139*G139*0.0036*'Założenia,wskaźniki, listy'!$P$10,IF(K139="brak",J139*G139*0.0036*'Założenia,wskaźniki, listy'!$P$11,0)))</f>
        <v>88.2</v>
      </c>
      <c r="Q139" s="638">
        <f>H139*'Założenia,wskaźniki, listy'!$L$15</f>
        <v>0</v>
      </c>
      <c r="R139" s="635">
        <f>IF(L139="węgiel",'Mieszkalne - baza'!M139*'Założenia,wskaźniki, listy'!$B$4,IF(L139="gaz",'Mieszkalne - baza'!M139*'Założenia,wskaźniki, listy'!$B$5,IF(L139="drewno",'Mieszkalne - baza'!M139*'Założenia,wskaźniki, listy'!$B$6,IF(L139="pelet",'Mieszkalne - baza'!M139*'Założenia,wskaźniki, listy'!$B$7,IF(L139="olej opałowy",'Mieszkalne - baza'!M139*'Założenia,wskaźniki, listy'!$B$8,IF(L139="sieć ciepłownicza",0,0))))))</f>
        <v>79.134999999999991</v>
      </c>
      <c r="S139" s="1084">
        <v>1.6919999999999999</v>
      </c>
      <c r="T139" s="639">
        <f>IF(L139="węgiel",R139*'Założenia,wskaźniki, listy'!$C$44,IF(L139="gaz",R139*'Założenia,wskaźniki, listy'!$D$44,IF(L139="drewno",R139*'Założenia,wskaźniki, listy'!$E$44,IF(L139="pelet",R139*'Założenia,wskaźniki, listy'!$F$44,IF(L139="olej opałowy",R139*'Założenia,wskaźniki, listy'!$G$44,IF(L139="sieć ciepłownicza",0,IF(L139="prąd",0,0)))))))</f>
        <v>1.7805374999999998E-2</v>
      </c>
      <c r="U139" s="639">
        <f>IF(L139="węgiel",R139*'Założenia,wskaźniki, listy'!$C$45,IF(L139="gaz",R139*'Założenia,wskaźniki, listy'!$D$45,IF(L139="drewno",R139*'Założenia,wskaźniki, listy'!$E$45,IF(L139="pelet",R139*'Założenia,wskaźniki, listy'!$F$45,IF(L139="olej opałowy",R139*'Założenia,wskaźniki, listy'!$G$45,IF(L139="sieć ciepłownicza",0,IF(L139="prąd",0,0)))))))</f>
        <v>1.5906134999999998E-2</v>
      </c>
      <c r="V139" s="639">
        <f>IF(L139="węgiel",R139*'Założenia,wskaźniki, listy'!$C$46,IF(L139="gaz",R139*'Założenia,wskaźniki, listy'!$D$46,IF(L139="drewno",R139*'Założenia,wskaźniki, listy'!$E$46,IF(L139="pelet",R139*'Założenia,wskaźniki, listy'!$F$46,IF(L139="olej opałowy",R139*'Założenia,wskaźniki, listy'!$G$46,IF(L139="sieć ciepłownicza",R139*'Założenia,wskaźniki, listy'!$H$46,IF(L139="prąd",R139*'Założenia,wskaźniki, listy'!$I$46,0)))))))</f>
        <v>7.4181148999999982</v>
      </c>
      <c r="W139" s="639">
        <f>IF(L139="węgiel",R139*'Założenia,wskaźniki, listy'!$C$47,IF(L139="gaz",R139*'Założenia,wskaźniki, listy'!$D$47,IF(L139="drewno",R139*'Założenia,wskaźniki, listy'!$E$47,IF(L139="pelet",R139*'Założenia,wskaźniki, listy'!$F$47,IF(L139="olej opałowy",R139*'Założenia,wskaźniki, listy'!$G$47,IF(L139="sieć ciepłownicza",0,IF(L139="prąd",0,0)))))))</f>
        <v>2.1366449999999999E-5</v>
      </c>
      <c r="X139" s="639">
        <f>IF(L139="węgiel",R139*'Założenia,wskaźniki, listy'!$C$48, IF(L139="gaz",R139*'Założenia,wskaźniki, listy'!$D$48,IF(L139="drewno",R139*'Założenia,wskaźniki, listy'!$E$48,IF(L139="pelet",R139*'Założenia,wskaźniki, listy'!$F$48,IF(L139="olej opałowy",R139*'Założenia,wskaźniki, listy'!$G$48,IF(L139="sieć ciepłownicza",0,IF(L139="prąd",0,0)))))))</f>
        <v>7.1221499999999993E-2</v>
      </c>
      <c r="Y139" s="639">
        <f>IF(L139="węgiel",R139*'Założenia,wskaźniki, listy'!$C$49, IF(L139="gaz",R139*'Założenia,wskaźniki, listy'!$D$49, IF(L139="drewno",R139*'Założenia,wskaźniki, listy'!$E$49,IF(L139="pelet",R139*'Założenia,wskaźniki, listy'!$F$49,IF(L139="olej opałowy",R139*'Założenia,wskaźniki, listy'!$G$49,IF(L139="sieć ciepłownicza",0,IF(L139="prąd",0,0)))))))</f>
        <v>1.2503329999999998E-2</v>
      </c>
      <c r="Z139" s="639">
        <f>IF(L139="węgiel",R139*'Założenia,wskaźniki, listy'!$C$50,IF(L139="gaz",R139*'Założenia,wskaźniki, listy'!$D$50, IF(L139="drewno",R139*'Założenia,wskaźniki, listy'!$E$50,IF(L139="pelet",R139*'Założenia,wskaźniki, listy'!$F$50,IF(L139="pelet",R139*'Założenia,wskaźniki, listy'!$F$50,IF(L139="olej opałowy",R139*'Założenia,wskaźniki, listy'!$G$50,IF(L139="sieć ciepłownicza",0,IF(L139="prąd",0,0))))))))</f>
        <v>0.15918976307554758</v>
      </c>
      <c r="AA139" s="639">
        <f>IF(N139="węgiel",Q139*'Założenia,wskaźniki, listy'!$C$44,IF(N139="gaz",Q139*'Założenia,wskaźniki, listy'!$D$44,IF(N139="drewno",Q139*'Założenia,wskaźniki, listy'!$E$44,IF(N139="pelet",Q139*'Założenia,wskaźniki, listy'!$G$44,IF(N139="olej opałowy",Q139*'Założenia,wskaźniki, listy'!$G$44,IF(N139="sieć ciepłownicza",0,IF(N139="prąd",0,0)))))))</f>
        <v>0</v>
      </c>
      <c r="AB139" s="639">
        <f>IF(N139="węgiel",Q139*'Założenia,wskaźniki, listy'!$C$45,IF(N139="gaz",Q139*'Założenia,wskaźniki, listy'!$D$45,IF(N139="drewno",Q139*'Założenia,wskaźniki, listy'!$E$45,IF(N139="pelet",Q139*'Założenia,wskaźniki, listy'!$G$45,IF(N139="olej opałowy",Q139*'Założenia,wskaźniki, listy'!$G$45,IF(N139="sieć ciepłownicza",0,IF(N139="prąd",0,0)))))))</f>
        <v>0</v>
      </c>
      <c r="AC139" s="639">
        <f>IF(N139="węgiel",Q139*'Założenia,wskaźniki, listy'!$C$46,IF(N139="gaz",Q139*'Założenia,wskaźniki, listy'!$D$46,IF(N139="drewno",Q139*'Założenia,wskaźniki, listy'!$E$46,IF(N139="pelet",Q139*'Założenia,wskaźniki, listy'!$G$46,IF(N139="olej opałowy",Q139*'Założenia,wskaźniki, listy'!$G$46,IF(N139="sieć ciepłownicza",0,IF(N139="prąd",0,0)))))))</f>
        <v>0</v>
      </c>
      <c r="AD139" s="639">
        <f>IF(N139="węgiel",Q139*'Założenia,wskaźniki, listy'!$C$47,IF(N139="gaz",Q139*'Założenia,wskaźniki, listy'!$D$47,IF(N139="drewno",Q139*'Założenia,wskaźniki, listy'!$E$47,IF(N139="pelet",Q139*'Założenia,wskaźniki, listy'!$G$47,IF(N139="olej opałowy",Q139*'Założenia,wskaźniki, listy'!$G$47,IF(N139="sieć ciepłownicza",0,IF(N139="prąd",0,0)))))))</f>
        <v>0</v>
      </c>
      <c r="AE139" s="639">
        <f>IF(N139="węgiel",Q139*'Założenia,wskaźniki, listy'!$C$48,IF(N139="gaz",Q139*'Założenia,wskaźniki, listy'!$D$48,IF(N139="drewno",Q139*'Założenia,wskaźniki, listy'!$E$48,IF(N139="pelet",Q139*'Założenia,wskaźniki, listy'!$G$48,IF(N139="olej opałowy",Q139*'Założenia,wskaźniki, listy'!$G$48,IF(N139="sieć ciepłownicza",0,IF(N139="prąd",0,0)))))))</f>
        <v>0</v>
      </c>
      <c r="AF139" s="639">
        <f>IF(N139="węgiel",Q139*'Założenia,wskaźniki, listy'!$C$49,IF(N139="gaz",Q139*'Założenia,wskaźniki, listy'!$D$49,IF(N139="drewno",Q139*'Założenia,wskaźniki, listy'!$E$49,IF(N139="pelet",Q139*'Założenia,wskaźniki, listy'!$G$49,IF(N139="olej opałowy",Q139*'Założenia,wskaźniki, listy'!$G$49,IF(N139="sieć ciepłownicza",0,IF(N139="prąd",0,0)))))))</f>
        <v>0</v>
      </c>
      <c r="AG139" s="639">
        <f>IF(N139="węgiel",Q139*'Założenia,wskaźniki, listy'!$C$50,IF(N139="gaz",Q139*'Założenia,wskaźniki, listy'!$D$50,IF(N139="drewno",Q139*'Założenia,wskaźniki, listy'!$E$50,IF(N139="pelet",Q139*'Założenia,wskaźniki, listy'!$G$50,IF(N139="olej opałowy",Q139*'Założenia,wskaźniki, listy'!$G$50,IF(N139="sieć ciepłownicza",0,IF(N139="prąd",0,0)))))))</f>
        <v>0</v>
      </c>
      <c r="AH139" s="640">
        <f>IF(L139="węgiel",(P139+R139)/2*'Założenia,wskaźniki, listy'!$C$4,IF(L139="gaz",(P139+R139)/2*'Założenia,wskaźniki, listy'!$C$5,IF(L139="drewno",(P139+R139)/2*'Założenia,wskaźniki, listy'!$C$6,IF(L139="pelet",(P139+R139)/2*'Założenia,wskaźniki, listy'!$C$7,IF(L139="olej opałowy",(P139+R139)/2*'Założenia,wskaźniki, listy'!$C$8,IF(L139="sieć ciepłownicza",(P139+R139)/2*'Założenia,wskaźniki, listy'!$C$9,IF(L139="sieć ciepłownicza",(P139+R139)/2*'Założenia,wskaźniki, listy'!$C$10,)))))))</f>
        <v>3430.3674999999994</v>
      </c>
      <c r="AI139" s="640">
        <f>IF(N139="węgiel",Q139*'Założenia,wskaźniki, listy'!$C$4,IF(N139="gaz",Q139*'Założenia,wskaźniki, listy'!$C$5,IF(N139="drewno",Q139*'Założenia,wskaźniki, listy'!$C$6,IF(N139="pelet",Q139*'Założenia,wskaźniki, listy'!$C$7,IF(N139="olej opałowy",Q139*'Założenia,wskaźniki, listy'!$C$8,IF(N139="sieć ciepłownicza",Q139*'Założenia,wskaźniki, listy'!$C$9,IF(N139="sieć ciepłownicza",Q139*'Założenia,wskaźniki, listy'!$C$10,0)))))))</f>
        <v>0</v>
      </c>
      <c r="AJ139" s="640">
        <f>S139*'Założenia,wskaźniki, listy'!$B$64*1000</f>
        <v>1201.32</v>
      </c>
      <c r="AK139" s="640">
        <f>(H139+I139)*'Założenia,wskaźniki, listy'!$D$64*12</f>
        <v>0</v>
      </c>
      <c r="AL139" s="640">
        <f>AK139*'Założenia,wskaźniki, listy'!$F$64</f>
        <v>0</v>
      </c>
      <c r="AM139" s="639">
        <f t="shared" si="206"/>
        <v>1.7805374999999998E-2</v>
      </c>
      <c r="AN139" s="639">
        <f t="shared" si="207"/>
        <v>1.5906134999999998E-2</v>
      </c>
      <c r="AO139" s="639">
        <f>V139+AC139+S139*'Założenia,wskaźniki, listy'!$J$46</f>
        <v>8.8250128999999973</v>
      </c>
      <c r="AP139" s="639">
        <f t="shared" si="208"/>
        <v>2.1366449999999999E-5</v>
      </c>
      <c r="AQ139" s="639">
        <f t="shared" si="209"/>
        <v>7.1221499999999993E-2</v>
      </c>
      <c r="AR139" s="639">
        <f t="shared" si="210"/>
        <v>1.2503329999999998E-2</v>
      </c>
      <c r="AS139" s="639">
        <f t="shared" si="211"/>
        <v>0.15918976307554758</v>
      </c>
      <c r="AT139" s="647"/>
      <c r="AU139" s="647"/>
      <c r="AV139" s="624" t="b">
        <f t="shared" si="241"/>
        <v>0</v>
      </c>
      <c r="AW139" s="624" t="b">
        <f t="shared" si="242"/>
        <v>0</v>
      </c>
      <c r="AX139" s="624" t="b">
        <f t="shared" si="243"/>
        <v>0</v>
      </c>
      <c r="AY139" s="624" t="b">
        <f t="shared" si="244"/>
        <v>0</v>
      </c>
      <c r="AZ139" s="624">
        <f t="shared" si="245"/>
        <v>140</v>
      </c>
      <c r="BA139" s="624" t="b">
        <f t="shared" si="246"/>
        <v>0</v>
      </c>
      <c r="BB139" s="624" t="b">
        <f t="shared" si="247"/>
        <v>0</v>
      </c>
      <c r="BC139" s="624" t="b">
        <f t="shared" si="248"/>
        <v>0</v>
      </c>
      <c r="BD139" s="624" t="b">
        <f t="shared" si="249"/>
        <v>0</v>
      </c>
      <c r="BE139" s="624" t="b">
        <f t="shared" si="250"/>
        <v>0</v>
      </c>
      <c r="BF139" s="624">
        <f t="shared" si="251"/>
        <v>79.134999999999991</v>
      </c>
      <c r="BG139" s="624" t="b">
        <f t="shared" si="252"/>
        <v>0</v>
      </c>
      <c r="BH139" s="624" t="b">
        <f t="shared" si="253"/>
        <v>0</v>
      </c>
      <c r="BI139" s="624" t="b">
        <f t="shared" si="254"/>
        <v>0</v>
      </c>
      <c r="BJ139" s="624" t="b">
        <f t="shared" si="255"/>
        <v>0</v>
      </c>
      <c r="BK139" s="624" t="b">
        <f t="shared" si="256"/>
        <v>0</v>
      </c>
      <c r="BL139" s="624" t="b">
        <f t="shared" si="257"/>
        <v>0</v>
      </c>
      <c r="BM139" s="624" t="b">
        <f t="shared" si="258"/>
        <v>0</v>
      </c>
      <c r="BN139" s="624" t="b">
        <f t="shared" si="259"/>
        <v>0</v>
      </c>
      <c r="BO139" s="624" t="b">
        <f t="shared" si="260"/>
        <v>0</v>
      </c>
      <c r="BP139" s="624" t="b">
        <f t="shared" si="261"/>
        <v>0</v>
      </c>
      <c r="BQ139" s="624" t="b">
        <f t="shared" si="262"/>
        <v>0</v>
      </c>
    </row>
    <row r="140" spans="1:69" ht="8.25" customHeight="1">
      <c r="A140" s="1087"/>
      <c r="B140" s="872"/>
      <c r="C140" s="874"/>
      <c r="D140" s="645"/>
      <c r="E140" s="645"/>
      <c r="F140" s="644"/>
      <c r="G140" s="644"/>
      <c r="H140" s="644"/>
      <c r="I140" s="635"/>
      <c r="J140" s="644">
        <f>IF(F140&lt;=1966,'Założenia,wskaźniki, listy'!$H$4,IF(F140&gt;1966,IF(F140&lt;=1985,'Założenia,wskaźniki, listy'!$H$5,IF(F140&gt;1985,IF(F140&lt;=1992,'Założenia,wskaźniki, listy'!$H$6,IF(F140&gt;1992,IF(F140&lt;=1996,'Założenia,wskaźniki, listy'!$H$7,IF(F140&gt;1996,IF(F140&lt;=2015,'Założenia,wskaźniki, listy'!$H$8)))))))))</f>
        <v>290</v>
      </c>
      <c r="K140" s="864"/>
      <c r="L140" s="644"/>
      <c r="M140" s="644"/>
      <c r="N140" s="644"/>
      <c r="O140" s="637">
        <f t="shared" si="240"/>
        <v>0</v>
      </c>
      <c r="P140" s="646">
        <f>IF(K140="kompletna",J140*G140*0.0036*'Założenia,wskaźniki, listy'!$P$9,IF(K140="częściowa",J140*G140*0.0036*'Założenia,wskaźniki, listy'!$P$10,IF(K140="brak",J140*G140*0.0036*'Założenia,wskaźniki, listy'!$P$11,0)))</f>
        <v>0</v>
      </c>
      <c r="Q140" s="638">
        <f>H140*'Założenia,wskaźniki, listy'!$L$15</f>
        <v>0</v>
      </c>
      <c r="R140" s="635">
        <f>IF(L140="węgiel",'Mieszkalne - baza'!M140*'Założenia,wskaźniki, listy'!$B$4,IF(L140="gaz",'Mieszkalne - baza'!M140*'Założenia,wskaźniki, listy'!$B$5,IF(L140="drewno",'Mieszkalne - baza'!M140*'Założenia,wskaźniki, listy'!$B$6,IF(L140="pelet",'Mieszkalne - baza'!M140*'Założenia,wskaźniki, listy'!$B$7,IF(L140="olej opałowy",'Mieszkalne - baza'!M140*'Założenia,wskaźniki, listy'!$B$8,IF(L140="sieć ciepłownicza",0,0))))))</f>
        <v>0</v>
      </c>
      <c r="S140" s="1085"/>
      <c r="T140" s="639">
        <f>IF(L140="węgiel",R140*'Założenia,wskaźniki, listy'!$C$44,IF(L140="gaz",R140*'Założenia,wskaźniki, listy'!$D$44,IF(L140="drewno",R140*'Założenia,wskaźniki, listy'!$E$44,IF(L140="pelet",R140*'Założenia,wskaźniki, listy'!$F$44,IF(L140="olej opałowy",R140*'Założenia,wskaźniki, listy'!$G$44,IF(L140="sieć ciepłownicza",0,IF(L140="prąd",0,0)))))))</f>
        <v>0</v>
      </c>
      <c r="U140" s="639">
        <f>IF(L140="węgiel",R140*'Założenia,wskaźniki, listy'!$C$45,IF(L140="gaz",R140*'Założenia,wskaźniki, listy'!$D$45,IF(L140="drewno",R140*'Założenia,wskaźniki, listy'!$E$45,IF(L140="pelet",R140*'Założenia,wskaźniki, listy'!$F$45,IF(L140="olej opałowy",R140*'Założenia,wskaźniki, listy'!$G$45,IF(L140="sieć ciepłownicza",0,IF(L140="prąd",0,0)))))))</f>
        <v>0</v>
      </c>
      <c r="V140" s="639">
        <f>IF(L140="węgiel",R140*'Założenia,wskaźniki, listy'!$C$46,IF(L140="gaz",R140*'Założenia,wskaźniki, listy'!$D$46,IF(L140="drewno",R140*'Założenia,wskaźniki, listy'!$E$46,IF(L140="pelet",R140*'Założenia,wskaźniki, listy'!$F$46,IF(L140="olej opałowy",R140*'Założenia,wskaźniki, listy'!$G$46,IF(L140="sieć ciepłownicza",R140*'Założenia,wskaźniki, listy'!$H$46,IF(L140="prąd",R140*'Założenia,wskaźniki, listy'!$I$46,0)))))))</f>
        <v>0</v>
      </c>
      <c r="W140" s="639">
        <f>IF(L140="węgiel",R140*'Założenia,wskaźniki, listy'!$C$47,IF(L140="gaz",R140*'Założenia,wskaźniki, listy'!$D$47,IF(L140="drewno",R140*'Założenia,wskaźniki, listy'!$E$47,IF(L140="pelet",R140*'Założenia,wskaźniki, listy'!$F$47,IF(L140="olej opałowy",R140*'Założenia,wskaźniki, listy'!$G$47,IF(L140="sieć ciepłownicza",0,IF(L140="prąd",0,0)))))))</f>
        <v>0</v>
      </c>
      <c r="X140" s="639">
        <f>IF(L140="węgiel",R140*'Założenia,wskaźniki, listy'!$C$48, IF(L140="gaz",R140*'Założenia,wskaźniki, listy'!$D$48,IF(L140="drewno",R140*'Założenia,wskaźniki, listy'!$E$48,IF(L140="pelet",R140*'Założenia,wskaźniki, listy'!$F$48,IF(L140="olej opałowy",R140*'Założenia,wskaźniki, listy'!$G$48,IF(L140="sieć ciepłownicza",0,IF(L140="prąd",0,0)))))))</f>
        <v>0</v>
      </c>
      <c r="Y140" s="639">
        <f>IF(L140="węgiel",R140*'Założenia,wskaźniki, listy'!$C$49, IF(L140="gaz",R140*'Założenia,wskaźniki, listy'!$D$49, IF(L140="drewno",R140*'Założenia,wskaźniki, listy'!$E$49,IF(L140="pelet",R140*'Założenia,wskaźniki, listy'!$F$49,IF(L140="olej opałowy",R140*'Założenia,wskaźniki, listy'!$G$49,IF(L140="sieć ciepłownicza",0,IF(L140="prąd",0,0)))))))</f>
        <v>0</v>
      </c>
      <c r="Z140" s="639">
        <f>IF(L140="węgiel",R140*'Założenia,wskaźniki, listy'!$C$50,IF(L140="gaz",R140*'Założenia,wskaźniki, listy'!$D$50, IF(L140="drewno",R140*'Założenia,wskaźniki, listy'!$E$50,IF(L140="pelet",R140*'Założenia,wskaźniki, listy'!$F$50,IF(L140="pelet",R140*'Założenia,wskaźniki, listy'!$F$50,IF(L140="olej opałowy",R140*'Założenia,wskaźniki, listy'!$G$50,IF(L140="sieć ciepłownicza",0,IF(L140="prąd",0,0))))))))</f>
        <v>0</v>
      </c>
      <c r="AA140" s="639">
        <f>IF(N140="węgiel",Q140*'Założenia,wskaźniki, listy'!$C$44,IF(N140="gaz",Q140*'Założenia,wskaźniki, listy'!$D$44,IF(N140="drewno",Q140*'Założenia,wskaźniki, listy'!$E$44,IF(N140="pelet",Q140*'Założenia,wskaźniki, listy'!$G$44,IF(N140="olej opałowy",Q140*'Założenia,wskaźniki, listy'!$G$44,IF(N140="sieć ciepłownicza",0,IF(N140="prąd",0,0)))))))</f>
        <v>0</v>
      </c>
      <c r="AB140" s="639">
        <f>IF(N140="węgiel",Q140*'Założenia,wskaźniki, listy'!$C$45,IF(N140="gaz",Q140*'Założenia,wskaźniki, listy'!$D$45,IF(N140="drewno",Q140*'Założenia,wskaźniki, listy'!$E$45,IF(N140="pelet",Q140*'Założenia,wskaźniki, listy'!$G$45,IF(N140="olej opałowy",Q140*'Założenia,wskaźniki, listy'!$G$45,IF(N140="sieć ciepłownicza",0,IF(N140="prąd",0,0)))))))</f>
        <v>0</v>
      </c>
      <c r="AC140" s="639">
        <f>IF(N140="węgiel",Q140*'Założenia,wskaźniki, listy'!$C$46,IF(N140="gaz",Q140*'Założenia,wskaźniki, listy'!$D$46,IF(N140="drewno",Q140*'Założenia,wskaźniki, listy'!$E$46,IF(N140="pelet",Q140*'Założenia,wskaźniki, listy'!$G$46,IF(N140="olej opałowy",Q140*'Założenia,wskaźniki, listy'!$G$46,IF(N140="sieć ciepłownicza",0,IF(N140="prąd",0,0)))))))</f>
        <v>0</v>
      </c>
      <c r="AD140" s="639">
        <f>IF(N140="węgiel",Q140*'Założenia,wskaźniki, listy'!$C$47,IF(N140="gaz",Q140*'Założenia,wskaźniki, listy'!$D$47,IF(N140="drewno",Q140*'Założenia,wskaźniki, listy'!$E$47,IF(N140="pelet",Q140*'Założenia,wskaźniki, listy'!$G$47,IF(N140="olej opałowy",Q140*'Założenia,wskaźniki, listy'!$G$47,IF(N140="sieć ciepłownicza",0,IF(N140="prąd",0,0)))))))</f>
        <v>0</v>
      </c>
      <c r="AE140" s="639">
        <f>IF(N140="węgiel",Q140*'Założenia,wskaźniki, listy'!$C$48,IF(N140="gaz",Q140*'Założenia,wskaźniki, listy'!$D$48,IF(N140="drewno",Q140*'Założenia,wskaźniki, listy'!$E$48,IF(N140="pelet",Q140*'Założenia,wskaźniki, listy'!$G$48,IF(N140="olej opałowy",Q140*'Założenia,wskaźniki, listy'!$G$48,IF(N140="sieć ciepłownicza",0,IF(N140="prąd",0,0)))))))</f>
        <v>0</v>
      </c>
      <c r="AF140" s="639">
        <f>IF(N140="węgiel",Q140*'Założenia,wskaźniki, listy'!$C$49,IF(N140="gaz",Q140*'Założenia,wskaźniki, listy'!$D$49,IF(N140="drewno",Q140*'Założenia,wskaźniki, listy'!$E$49,IF(N140="pelet",Q140*'Założenia,wskaźniki, listy'!$G$49,IF(N140="olej opałowy",Q140*'Założenia,wskaźniki, listy'!$G$49,IF(N140="sieć ciepłownicza",0,IF(N140="prąd",0,0)))))))</f>
        <v>0</v>
      </c>
      <c r="AG140" s="639">
        <f>IF(N140="węgiel",Q140*'Założenia,wskaźniki, listy'!$C$50,IF(N140="gaz",Q140*'Założenia,wskaźniki, listy'!$D$50,IF(N140="drewno",Q140*'Założenia,wskaźniki, listy'!$E$50,IF(N140="pelet",Q140*'Założenia,wskaźniki, listy'!$G$50,IF(N140="olej opałowy",Q140*'Założenia,wskaźniki, listy'!$G$50,IF(N140="sieć ciepłownicza",0,IF(N140="prąd",0,0)))))))</f>
        <v>0</v>
      </c>
      <c r="AH140" s="640">
        <f>IF(L140="węgiel",(P140+R140)/2*'Założenia,wskaźniki, listy'!$C$4,IF(L140="gaz",(P140+R140)/2*'Założenia,wskaźniki, listy'!$C$5,IF(L140="drewno",(P140+R140)/2*'Założenia,wskaźniki, listy'!$C$6,IF(L140="pelet",(P140+R140)/2*'Założenia,wskaźniki, listy'!$C$7,IF(L140="olej opałowy",(P140+R140)/2*'Założenia,wskaźniki, listy'!$C$8,IF(L140="sieć ciepłownicza",(P140+R140)/2*'Założenia,wskaźniki, listy'!$C$9,IF(L140="sieć ciepłownicza",(P140+R140)/2*'Założenia,wskaźniki, listy'!$C$10,)))))))</f>
        <v>0</v>
      </c>
      <c r="AI140" s="640">
        <f>IF(N140="węgiel",Q140*'Założenia,wskaźniki, listy'!$C$4,IF(N140="gaz",Q140*'Założenia,wskaźniki, listy'!$C$5,IF(N140="drewno",Q140*'Założenia,wskaźniki, listy'!$C$6,IF(N140="pelet",Q140*'Założenia,wskaźniki, listy'!$C$7,IF(N140="olej opałowy",Q140*'Założenia,wskaźniki, listy'!$C$8,IF(N140="sieć ciepłownicza",Q140*'Założenia,wskaźniki, listy'!$C$9,IF(N140="sieć ciepłownicza",Q140*'Założenia,wskaźniki, listy'!$C$10,0)))))))</f>
        <v>0</v>
      </c>
      <c r="AJ140" s="640">
        <f>S140*'Założenia,wskaźniki, listy'!$B$64*1000</f>
        <v>0</v>
      </c>
      <c r="AK140" s="640">
        <f>(H140+I140)*'Założenia,wskaźniki, listy'!$D$64*12</f>
        <v>0</v>
      </c>
      <c r="AL140" s="640">
        <f>AK140*'Założenia,wskaźniki, listy'!$F$64</f>
        <v>0</v>
      </c>
      <c r="AM140" s="639">
        <f t="shared" si="206"/>
        <v>0</v>
      </c>
      <c r="AN140" s="639">
        <f t="shared" si="207"/>
        <v>0</v>
      </c>
      <c r="AO140" s="639">
        <f>V140+AC140+S140*'Założenia,wskaźniki, listy'!$J$46</f>
        <v>0</v>
      </c>
      <c r="AP140" s="639">
        <f t="shared" si="208"/>
        <v>0</v>
      </c>
      <c r="AQ140" s="639">
        <f t="shared" si="209"/>
        <v>0</v>
      </c>
      <c r="AR140" s="639">
        <f t="shared" si="210"/>
        <v>0</v>
      </c>
      <c r="AS140" s="639">
        <f t="shared" si="211"/>
        <v>0</v>
      </c>
      <c r="AT140" s="647"/>
      <c r="AU140" s="647"/>
      <c r="AV140" s="624">
        <f t="shared" si="241"/>
        <v>0</v>
      </c>
      <c r="AW140" s="624" t="b">
        <f t="shared" si="242"/>
        <v>0</v>
      </c>
      <c r="AX140" s="624" t="b">
        <f t="shared" si="243"/>
        <v>0</v>
      </c>
      <c r="AY140" s="624" t="b">
        <f t="shared" si="244"/>
        <v>0</v>
      </c>
      <c r="AZ140" s="624" t="b">
        <f t="shared" si="245"/>
        <v>0</v>
      </c>
      <c r="BA140" s="624" t="b">
        <f t="shared" si="246"/>
        <v>0</v>
      </c>
      <c r="BB140" s="624" t="b">
        <f t="shared" si="247"/>
        <v>0</v>
      </c>
      <c r="BC140" s="624" t="b">
        <f t="shared" si="248"/>
        <v>0</v>
      </c>
      <c r="BD140" s="624" t="b">
        <f t="shared" si="249"/>
        <v>0</v>
      </c>
      <c r="BE140" s="624" t="b">
        <f t="shared" si="250"/>
        <v>0</v>
      </c>
      <c r="BF140" s="624" t="b">
        <f t="shared" si="251"/>
        <v>0</v>
      </c>
      <c r="BG140" s="624" t="b">
        <f t="shared" si="252"/>
        <v>0</v>
      </c>
      <c r="BH140" s="624" t="b">
        <f t="shared" si="253"/>
        <v>0</v>
      </c>
      <c r="BI140" s="624" t="b">
        <f t="shared" si="254"/>
        <v>0</v>
      </c>
      <c r="BJ140" s="624" t="b">
        <f t="shared" si="255"/>
        <v>0</v>
      </c>
      <c r="BK140" s="624" t="b">
        <f t="shared" si="256"/>
        <v>0</v>
      </c>
      <c r="BL140" s="624" t="b">
        <f t="shared" si="257"/>
        <v>0</v>
      </c>
      <c r="BM140" s="624" t="b">
        <f t="shared" si="258"/>
        <v>0</v>
      </c>
      <c r="BN140" s="624" t="b">
        <f t="shared" si="259"/>
        <v>0</v>
      </c>
      <c r="BO140" s="624" t="b">
        <f t="shared" si="260"/>
        <v>0</v>
      </c>
      <c r="BP140" s="624" t="b">
        <f t="shared" si="261"/>
        <v>0</v>
      </c>
      <c r="BQ140" s="624" t="b">
        <f t="shared" si="262"/>
        <v>0</v>
      </c>
    </row>
    <row r="141" spans="1:69">
      <c r="A141" s="1086">
        <v>69</v>
      </c>
      <c r="B141" s="872" t="s">
        <v>21</v>
      </c>
      <c r="C141" s="873" t="s">
        <v>634</v>
      </c>
      <c r="D141" s="645"/>
      <c r="E141" s="645">
        <v>19</v>
      </c>
      <c r="F141" s="644">
        <v>1970</v>
      </c>
      <c r="G141" s="644">
        <v>110</v>
      </c>
      <c r="H141" s="644"/>
      <c r="I141" s="635"/>
      <c r="J141" s="644">
        <f>IF(F141&lt;=1966,'Założenia,wskaźniki, listy'!$H$4,IF(F141&gt;1966,IF(F141&lt;=1985,'Założenia,wskaźniki, listy'!$H$5,IF(F141&gt;1985,IF(F141&lt;=1992,'Założenia,wskaźniki, listy'!$H$6,IF(F141&gt;1992,IF(F141&lt;=1996,'Założenia,wskaźniki, listy'!$H$7,IF(F141&gt;1996,IF(F141&lt;=2015,'Założenia,wskaźniki, listy'!$H$8)))))))))</f>
        <v>250</v>
      </c>
      <c r="K141" s="864" t="s">
        <v>31</v>
      </c>
      <c r="L141" s="644" t="s">
        <v>8</v>
      </c>
      <c r="M141" s="644">
        <v>4</v>
      </c>
      <c r="N141" s="644"/>
      <c r="O141" s="637">
        <f t="shared" si="240"/>
        <v>94.72</v>
      </c>
      <c r="P141" s="646">
        <f>IF(K141="kompletna",J141*G141*0.0036*'Założenia,wskaźniki, listy'!$P$9,IF(K141="częściowa",J141*G141*0.0036*'Założenia,wskaźniki, listy'!$P$10,IF(K141="brak",J141*G141*0.0036*'Założenia,wskaźniki, listy'!$P$11,0)))</f>
        <v>99</v>
      </c>
      <c r="Q141" s="638">
        <f>H141*'Założenia,wskaźniki, listy'!$L$15</f>
        <v>0</v>
      </c>
      <c r="R141" s="635">
        <f>IF(L141="węgiel",'Mieszkalne - baza'!M141*'Założenia,wskaźniki, listy'!$B$4,IF(L141="gaz",'Mieszkalne - baza'!M141*'Założenia,wskaźniki, listy'!$B$5,IF(L141="drewno",'Mieszkalne - baza'!M141*'Założenia,wskaźniki, listy'!$B$6,IF(L141="pelet",'Mieszkalne - baza'!M141*'Założenia,wskaźniki, listy'!$B$7,IF(L141="olej opałowy",'Mieszkalne - baza'!M141*'Założenia,wskaźniki, listy'!$B$8,IF(L141="sieć ciepłownicza",0,0))))))</f>
        <v>90.44</v>
      </c>
      <c r="S141" s="1084">
        <v>1.8048000000000002</v>
      </c>
      <c r="T141" s="639">
        <f>IF(L141="węgiel",R141*'Założenia,wskaźniki, listy'!$C$44,IF(L141="gaz",R141*'Założenia,wskaźniki, listy'!$D$44,IF(L141="drewno",R141*'Założenia,wskaźniki, listy'!$E$44,IF(L141="pelet",R141*'Założenia,wskaźniki, listy'!$F$44,IF(L141="olej opałowy",R141*'Założenia,wskaźniki, listy'!$G$44,IF(L141="sieć ciepłownicza",0,IF(L141="prąd",0,0)))))))</f>
        <v>2.0348999999999999E-2</v>
      </c>
      <c r="U141" s="639">
        <f>IF(L141="węgiel",R141*'Założenia,wskaźniki, listy'!$C$45,IF(L141="gaz",R141*'Założenia,wskaźniki, listy'!$D$45,IF(L141="drewno",R141*'Założenia,wskaźniki, listy'!$E$45,IF(L141="pelet",R141*'Założenia,wskaźniki, listy'!$F$45,IF(L141="olej opałowy",R141*'Założenia,wskaźniki, listy'!$G$45,IF(L141="sieć ciepłownicza",0,IF(L141="prąd",0,0)))))))</f>
        <v>1.8178440000000001E-2</v>
      </c>
      <c r="V141" s="639">
        <f>IF(L141="węgiel",R141*'Założenia,wskaźniki, listy'!$C$46,IF(L141="gaz",R141*'Założenia,wskaźniki, listy'!$D$46,IF(L141="drewno",R141*'Założenia,wskaźniki, listy'!$E$46,IF(L141="pelet",R141*'Założenia,wskaźniki, listy'!$F$46,IF(L141="olej opałowy",R141*'Założenia,wskaźniki, listy'!$G$46,IF(L141="sieć ciepłownicza",R141*'Założenia,wskaźniki, listy'!$H$46,IF(L141="prąd",R141*'Założenia,wskaźniki, listy'!$I$46,0)))))))</f>
        <v>8.4778455999999984</v>
      </c>
      <c r="W141" s="639">
        <f>IF(L141="węgiel",R141*'Założenia,wskaźniki, listy'!$C$47,IF(L141="gaz",R141*'Założenia,wskaźniki, listy'!$D$47,IF(L141="drewno",R141*'Założenia,wskaźniki, listy'!$E$47,IF(L141="pelet",R141*'Założenia,wskaźniki, listy'!$F$47,IF(L141="olej opałowy",R141*'Założenia,wskaźniki, listy'!$G$47,IF(L141="sieć ciepłownicza",0,IF(L141="prąd",0,0)))))))</f>
        <v>2.4418800000000001E-5</v>
      </c>
      <c r="X141" s="639">
        <f>IF(L141="węgiel",R141*'Założenia,wskaźniki, listy'!$C$48, IF(L141="gaz",R141*'Założenia,wskaźniki, listy'!$D$48,IF(L141="drewno",R141*'Założenia,wskaźniki, listy'!$E$48,IF(L141="pelet",R141*'Założenia,wskaźniki, listy'!$F$48,IF(L141="olej opałowy",R141*'Założenia,wskaźniki, listy'!$G$48,IF(L141="sieć ciepłownicza",0,IF(L141="prąd",0,0)))))))</f>
        <v>8.1395999999999996E-2</v>
      </c>
      <c r="Y141" s="639">
        <f>IF(L141="węgiel",R141*'Założenia,wskaźniki, listy'!$C$49, IF(L141="gaz",R141*'Założenia,wskaźniki, listy'!$D$49, IF(L141="drewno",R141*'Założenia,wskaźniki, listy'!$E$49,IF(L141="pelet",R141*'Założenia,wskaźniki, listy'!$F$49,IF(L141="olej opałowy",R141*'Założenia,wskaźniki, listy'!$G$49,IF(L141="sieć ciepłownicza",0,IF(L141="prąd",0,0)))))))</f>
        <v>1.4289519999999998E-2</v>
      </c>
      <c r="Z141" s="639">
        <f>IF(L141="węgiel",R141*'Założenia,wskaźniki, listy'!$C$50,IF(L141="gaz",R141*'Założenia,wskaźniki, listy'!$D$50, IF(L141="drewno",R141*'Założenia,wskaźniki, listy'!$E$50,IF(L141="pelet",R141*'Założenia,wskaźniki, listy'!$F$50,IF(L141="pelet",R141*'Założenia,wskaźniki, listy'!$F$50,IF(L141="olej opałowy",R141*'Założenia,wskaźniki, listy'!$G$50,IF(L141="sieć ciepłownicza",0,IF(L141="prąd",0,0))))))))</f>
        <v>0.18193115780062583</v>
      </c>
      <c r="AA141" s="639">
        <f>IF(N141="węgiel",Q141*'Założenia,wskaźniki, listy'!$C$44,IF(N141="gaz",Q141*'Założenia,wskaźniki, listy'!$D$44,IF(N141="drewno",Q141*'Założenia,wskaźniki, listy'!$E$44,IF(N141="pelet",Q141*'Założenia,wskaźniki, listy'!$G$44,IF(N141="olej opałowy",Q141*'Założenia,wskaźniki, listy'!$G$44,IF(N141="sieć ciepłownicza",0,IF(N141="prąd",0,0)))))))</f>
        <v>0</v>
      </c>
      <c r="AB141" s="639">
        <f>IF(N141="węgiel",Q141*'Założenia,wskaźniki, listy'!$C$45,IF(N141="gaz",Q141*'Założenia,wskaźniki, listy'!$D$45,IF(N141="drewno",Q141*'Założenia,wskaźniki, listy'!$E$45,IF(N141="pelet",Q141*'Założenia,wskaźniki, listy'!$G$45,IF(N141="olej opałowy",Q141*'Założenia,wskaźniki, listy'!$G$45,IF(N141="sieć ciepłownicza",0,IF(N141="prąd",0,0)))))))</f>
        <v>0</v>
      </c>
      <c r="AC141" s="639">
        <f>IF(N141="węgiel",Q141*'Założenia,wskaźniki, listy'!$C$46,IF(N141="gaz",Q141*'Założenia,wskaźniki, listy'!$D$46,IF(N141="drewno",Q141*'Założenia,wskaźniki, listy'!$E$46,IF(N141="pelet",Q141*'Założenia,wskaźniki, listy'!$G$46,IF(N141="olej opałowy",Q141*'Założenia,wskaźniki, listy'!$G$46,IF(N141="sieć ciepłownicza",0,IF(N141="prąd",0,0)))))))</f>
        <v>0</v>
      </c>
      <c r="AD141" s="639">
        <f>IF(N141="węgiel",Q141*'Założenia,wskaźniki, listy'!$C$47,IF(N141="gaz",Q141*'Założenia,wskaźniki, listy'!$D$47,IF(N141="drewno",Q141*'Założenia,wskaźniki, listy'!$E$47,IF(N141="pelet",Q141*'Założenia,wskaźniki, listy'!$G$47,IF(N141="olej opałowy",Q141*'Założenia,wskaźniki, listy'!$G$47,IF(N141="sieć ciepłownicza",0,IF(N141="prąd",0,0)))))))</f>
        <v>0</v>
      </c>
      <c r="AE141" s="639">
        <f>IF(N141="węgiel",Q141*'Założenia,wskaźniki, listy'!$C$48,IF(N141="gaz",Q141*'Założenia,wskaźniki, listy'!$D$48,IF(N141="drewno",Q141*'Założenia,wskaźniki, listy'!$E$48,IF(N141="pelet",Q141*'Założenia,wskaźniki, listy'!$G$48,IF(N141="olej opałowy",Q141*'Założenia,wskaźniki, listy'!$G$48,IF(N141="sieć ciepłownicza",0,IF(N141="prąd",0,0)))))))</f>
        <v>0</v>
      </c>
      <c r="AF141" s="639">
        <f>IF(N141="węgiel",Q141*'Założenia,wskaźniki, listy'!$C$49,IF(N141="gaz",Q141*'Założenia,wskaźniki, listy'!$D$49,IF(N141="drewno",Q141*'Założenia,wskaźniki, listy'!$E$49,IF(N141="pelet",Q141*'Założenia,wskaźniki, listy'!$G$49,IF(N141="olej opałowy",Q141*'Założenia,wskaźniki, listy'!$G$49,IF(N141="sieć ciepłownicza",0,IF(N141="prąd",0,0)))))))</f>
        <v>0</v>
      </c>
      <c r="AG141" s="639">
        <f>IF(N141="węgiel",Q141*'Założenia,wskaźniki, listy'!$C$50,IF(N141="gaz",Q141*'Założenia,wskaźniki, listy'!$D$50,IF(N141="drewno",Q141*'Założenia,wskaźniki, listy'!$E$50,IF(N141="pelet",Q141*'Założenia,wskaźniki, listy'!$G$50,IF(N141="olej opałowy",Q141*'Założenia,wskaźniki, listy'!$G$50,IF(N141="sieć ciepłownicza",0,IF(N141="prąd",0,0)))))))</f>
        <v>0</v>
      </c>
      <c r="AH141" s="640">
        <f>IF(L141="węgiel",(P141+R141)/2*'Założenia,wskaźniki, listy'!$C$4,IF(L141="gaz",(P141+R141)/2*'Założenia,wskaźniki, listy'!$C$5,IF(L141="drewno",(P141+R141)/2*'Założenia,wskaźniki, listy'!$C$6,IF(L141="pelet",(P141+R141)/2*'Założenia,wskaźniki, listy'!$C$7,IF(L141="olej opałowy",(P141+R141)/2*'Założenia,wskaźniki, listy'!$C$8,IF(L141="sieć ciepłownicza",(P141+R141)/2*'Założenia,wskaźniki, listy'!$C$9,IF(L141="sieć ciepłownicza",(P141+R141)/2*'Założenia,wskaźniki, listy'!$C$10,)))))))</f>
        <v>3883.52</v>
      </c>
      <c r="AI141" s="640">
        <f>IF(N141="węgiel",Q141*'Założenia,wskaźniki, listy'!$C$4,IF(N141="gaz",Q141*'Założenia,wskaźniki, listy'!$C$5,IF(N141="drewno",Q141*'Założenia,wskaźniki, listy'!$C$6,IF(N141="pelet",Q141*'Założenia,wskaźniki, listy'!$C$7,IF(N141="olej opałowy",Q141*'Założenia,wskaźniki, listy'!$C$8,IF(N141="sieć ciepłownicza",Q141*'Założenia,wskaźniki, listy'!$C$9,IF(N141="sieć ciepłownicza",Q141*'Założenia,wskaźniki, listy'!$C$10,0)))))))</f>
        <v>0</v>
      </c>
      <c r="AJ141" s="640">
        <f>S141*'Założenia,wskaźniki, listy'!$B$64*1000</f>
        <v>1281.4080000000001</v>
      </c>
      <c r="AK141" s="640">
        <f>(H141+I141)*'Założenia,wskaźniki, listy'!$D$64*12</f>
        <v>0</v>
      </c>
      <c r="AL141" s="640">
        <f>AK141*'Założenia,wskaźniki, listy'!$F$64</f>
        <v>0</v>
      </c>
      <c r="AM141" s="639">
        <f t="shared" si="206"/>
        <v>2.0348999999999999E-2</v>
      </c>
      <c r="AN141" s="639">
        <f t="shared" si="207"/>
        <v>1.8178440000000001E-2</v>
      </c>
      <c r="AO141" s="639">
        <f>V141+AC141+S141*'Założenia,wskaźniki, listy'!$J$46</f>
        <v>9.9785367999999988</v>
      </c>
      <c r="AP141" s="639">
        <f t="shared" si="208"/>
        <v>2.4418800000000001E-5</v>
      </c>
      <c r="AQ141" s="639">
        <f t="shared" si="209"/>
        <v>8.1395999999999996E-2</v>
      </c>
      <c r="AR141" s="639">
        <f t="shared" si="210"/>
        <v>1.4289519999999998E-2</v>
      </c>
      <c r="AS141" s="639">
        <f t="shared" si="211"/>
        <v>0.18193115780062583</v>
      </c>
      <c r="AT141" s="647"/>
      <c r="AU141" s="647"/>
      <c r="AV141" s="624" t="b">
        <f t="shared" si="241"/>
        <v>0</v>
      </c>
      <c r="AW141" s="624" t="b">
        <f t="shared" si="242"/>
        <v>0</v>
      </c>
      <c r="AX141" s="624">
        <f t="shared" si="243"/>
        <v>110</v>
      </c>
      <c r="AY141" s="624" t="b">
        <f t="shared" si="244"/>
        <v>0</v>
      </c>
      <c r="AZ141" s="624" t="b">
        <f t="shared" si="245"/>
        <v>0</v>
      </c>
      <c r="BA141" s="624" t="b">
        <f t="shared" si="246"/>
        <v>0</v>
      </c>
      <c r="BB141" s="624" t="b">
        <f t="shared" si="247"/>
        <v>0</v>
      </c>
      <c r="BC141" s="624" t="b">
        <f t="shared" si="248"/>
        <v>0</v>
      </c>
      <c r="BD141" s="624" t="b">
        <f t="shared" si="249"/>
        <v>0</v>
      </c>
      <c r="BE141" s="624" t="b">
        <f t="shared" si="250"/>
        <v>0</v>
      </c>
      <c r="BF141" s="624">
        <f t="shared" si="251"/>
        <v>90.44</v>
      </c>
      <c r="BG141" s="624" t="b">
        <f t="shared" si="252"/>
        <v>0</v>
      </c>
      <c r="BH141" s="624" t="b">
        <f t="shared" si="253"/>
        <v>0</v>
      </c>
      <c r="BI141" s="624" t="b">
        <f t="shared" si="254"/>
        <v>0</v>
      </c>
      <c r="BJ141" s="624" t="b">
        <f t="shared" si="255"/>
        <v>0</v>
      </c>
      <c r="BK141" s="624" t="b">
        <f t="shared" si="256"/>
        <v>0</v>
      </c>
      <c r="BL141" s="624" t="b">
        <f t="shared" si="257"/>
        <v>0</v>
      </c>
      <c r="BM141" s="624" t="b">
        <f t="shared" si="258"/>
        <v>0</v>
      </c>
      <c r="BN141" s="624" t="b">
        <f t="shared" si="259"/>
        <v>0</v>
      </c>
      <c r="BO141" s="624" t="b">
        <f t="shared" si="260"/>
        <v>0</v>
      </c>
      <c r="BP141" s="624" t="b">
        <f t="shared" si="261"/>
        <v>0</v>
      </c>
      <c r="BQ141" s="624" t="b">
        <f t="shared" si="262"/>
        <v>0</v>
      </c>
    </row>
    <row r="142" spans="1:69" ht="8.25" customHeight="1">
      <c r="A142" s="1087"/>
      <c r="B142" s="872"/>
      <c r="C142" s="872"/>
      <c r="D142" s="645"/>
      <c r="E142" s="645"/>
      <c r="F142" s="644"/>
      <c r="G142" s="644"/>
      <c r="H142" s="644"/>
      <c r="I142" s="635"/>
      <c r="J142" s="644">
        <f>IF(F142&lt;=1966,'Założenia,wskaźniki, listy'!$H$4,IF(F142&gt;1966,IF(F142&lt;=1985,'Założenia,wskaźniki, listy'!$H$5,IF(F142&gt;1985,IF(F142&lt;=1992,'Założenia,wskaźniki, listy'!$H$6,IF(F142&gt;1992,IF(F142&lt;=1996,'Założenia,wskaźniki, listy'!$H$7,IF(F142&gt;1996,IF(F142&lt;=2015,'Założenia,wskaźniki, listy'!$H$8)))))))))</f>
        <v>290</v>
      </c>
      <c r="K142" s="864"/>
      <c r="L142" s="644"/>
      <c r="M142" s="644"/>
      <c r="N142" s="644"/>
      <c r="O142" s="637">
        <f t="shared" si="240"/>
        <v>0</v>
      </c>
      <c r="P142" s="646">
        <f>IF(K142="kompletna",J142*G142*0.0036*'Założenia,wskaźniki, listy'!$P$9,IF(K142="częściowa",J142*G142*0.0036*'Założenia,wskaźniki, listy'!$P$10,IF(K142="brak",J142*G142*0.0036*'Założenia,wskaźniki, listy'!$P$11,0)))</f>
        <v>0</v>
      </c>
      <c r="Q142" s="638">
        <f>H142*'Założenia,wskaźniki, listy'!$L$15</f>
        <v>0</v>
      </c>
      <c r="R142" s="635">
        <f>IF(L142="węgiel",'Mieszkalne - baza'!M142*'Założenia,wskaźniki, listy'!$B$4,IF(L142="gaz",'Mieszkalne - baza'!M142*'Założenia,wskaźniki, listy'!$B$5,IF(L142="drewno",'Mieszkalne - baza'!M142*'Założenia,wskaźniki, listy'!$B$6,IF(L142="pelet",'Mieszkalne - baza'!M142*'Założenia,wskaźniki, listy'!$B$7,IF(L142="olej opałowy",'Mieszkalne - baza'!M142*'Założenia,wskaźniki, listy'!$B$8,IF(L142="sieć ciepłownicza",0,0))))))</f>
        <v>0</v>
      </c>
      <c r="S142" s="1085"/>
      <c r="T142" s="639">
        <f>IF(L142="węgiel",R142*'Założenia,wskaźniki, listy'!$C$44,IF(L142="gaz",R142*'Założenia,wskaźniki, listy'!$D$44,IF(L142="drewno",R142*'Założenia,wskaźniki, listy'!$E$44,IF(L142="pelet",R142*'Założenia,wskaźniki, listy'!$F$44,IF(L142="olej opałowy",R142*'Założenia,wskaźniki, listy'!$G$44,IF(L142="sieć ciepłownicza",0,IF(L142="prąd",0,0)))))))</f>
        <v>0</v>
      </c>
      <c r="U142" s="639">
        <f>IF(L142="węgiel",R142*'Założenia,wskaźniki, listy'!$C$45,IF(L142="gaz",R142*'Założenia,wskaźniki, listy'!$D$45,IF(L142="drewno",R142*'Założenia,wskaźniki, listy'!$E$45,IF(L142="pelet",R142*'Założenia,wskaźniki, listy'!$F$45,IF(L142="olej opałowy",R142*'Założenia,wskaźniki, listy'!$G$45,IF(L142="sieć ciepłownicza",0,IF(L142="prąd",0,0)))))))</f>
        <v>0</v>
      </c>
      <c r="V142" s="639">
        <f>IF(L142="węgiel",R142*'Założenia,wskaźniki, listy'!$C$46,IF(L142="gaz",R142*'Założenia,wskaźniki, listy'!$D$46,IF(L142="drewno",R142*'Założenia,wskaźniki, listy'!$E$46,IF(L142="pelet",R142*'Założenia,wskaźniki, listy'!$F$46,IF(L142="olej opałowy",R142*'Założenia,wskaźniki, listy'!$G$46,IF(L142="sieć ciepłownicza",R142*'Założenia,wskaźniki, listy'!$H$46,IF(L142="prąd",R142*'Założenia,wskaźniki, listy'!$I$46,0)))))))</f>
        <v>0</v>
      </c>
      <c r="W142" s="639">
        <f>IF(L142="węgiel",R142*'Założenia,wskaźniki, listy'!$C$47,IF(L142="gaz",R142*'Założenia,wskaźniki, listy'!$D$47,IF(L142="drewno",R142*'Założenia,wskaźniki, listy'!$E$47,IF(L142="pelet",R142*'Założenia,wskaźniki, listy'!$F$47,IF(L142="olej opałowy",R142*'Założenia,wskaźniki, listy'!$G$47,IF(L142="sieć ciepłownicza",0,IF(L142="prąd",0,0)))))))</f>
        <v>0</v>
      </c>
      <c r="X142" s="639">
        <f>IF(L142="węgiel",R142*'Założenia,wskaźniki, listy'!$C$48, IF(L142="gaz",R142*'Założenia,wskaźniki, listy'!$D$48,IF(L142="drewno",R142*'Założenia,wskaźniki, listy'!$E$48,IF(L142="pelet",R142*'Założenia,wskaźniki, listy'!$F$48,IF(L142="olej opałowy",R142*'Założenia,wskaźniki, listy'!$G$48,IF(L142="sieć ciepłownicza",0,IF(L142="prąd",0,0)))))))</f>
        <v>0</v>
      </c>
      <c r="Y142" s="639">
        <f>IF(L142="węgiel",R142*'Założenia,wskaźniki, listy'!$C$49, IF(L142="gaz",R142*'Założenia,wskaźniki, listy'!$D$49, IF(L142="drewno",R142*'Założenia,wskaźniki, listy'!$E$49,IF(L142="pelet",R142*'Założenia,wskaźniki, listy'!$F$49,IF(L142="olej opałowy",R142*'Założenia,wskaźniki, listy'!$G$49,IF(L142="sieć ciepłownicza",0,IF(L142="prąd",0,0)))))))</f>
        <v>0</v>
      </c>
      <c r="Z142" s="639">
        <f>IF(L142="węgiel",R142*'Założenia,wskaźniki, listy'!$C$50,IF(L142="gaz",R142*'Założenia,wskaźniki, listy'!$D$50, IF(L142="drewno",R142*'Założenia,wskaźniki, listy'!$E$50,IF(L142="pelet",R142*'Założenia,wskaźniki, listy'!$F$50,IF(L142="pelet",R142*'Założenia,wskaźniki, listy'!$F$50,IF(L142="olej opałowy",R142*'Założenia,wskaźniki, listy'!$G$50,IF(L142="sieć ciepłownicza",0,IF(L142="prąd",0,0))))))))</f>
        <v>0</v>
      </c>
      <c r="AA142" s="639">
        <f>IF(N142="węgiel",Q142*'Założenia,wskaźniki, listy'!$C$44,IF(N142="gaz",Q142*'Założenia,wskaźniki, listy'!$D$44,IF(N142="drewno",Q142*'Założenia,wskaźniki, listy'!$E$44,IF(N142="pelet",Q142*'Założenia,wskaźniki, listy'!$G$44,IF(N142="olej opałowy",Q142*'Założenia,wskaźniki, listy'!$G$44,IF(N142="sieć ciepłownicza",0,IF(N142="prąd",0,0)))))))</f>
        <v>0</v>
      </c>
      <c r="AB142" s="639">
        <f>IF(N142="węgiel",Q142*'Założenia,wskaźniki, listy'!$C$45,IF(N142="gaz",Q142*'Założenia,wskaźniki, listy'!$D$45,IF(N142="drewno",Q142*'Założenia,wskaźniki, listy'!$E$45,IF(N142="pelet",Q142*'Założenia,wskaźniki, listy'!$G$45,IF(N142="olej opałowy",Q142*'Założenia,wskaźniki, listy'!$G$45,IF(N142="sieć ciepłownicza",0,IF(N142="prąd",0,0)))))))</f>
        <v>0</v>
      </c>
      <c r="AC142" s="639">
        <f>IF(N142="węgiel",Q142*'Założenia,wskaźniki, listy'!$C$46,IF(N142="gaz",Q142*'Założenia,wskaźniki, listy'!$D$46,IF(N142="drewno",Q142*'Założenia,wskaźniki, listy'!$E$46,IF(N142="pelet",Q142*'Założenia,wskaźniki, listy'!$G$46,IF(N142="olej opałowy",Q142*'Założenia,wskaźniki, listy'!$G$46,IF(N142="sieć ciepłownicza",0,IF(N142="prąd",0,0)))))))</f>
        <v>0</v>
      </c>
      <c r="AD142" s="639">
        <f>IF(N142="węgiel",Q142*'Założenia,wskaźniki, listy'!$C$47,IF(N142="gaz",Q142*'Założenia,wskaźniki, listy'!$D$47,IF(N142="drewno",Q142*'Założenia,wskaźniki, listy'!$E$47,IF(N142="pelet",Q142*'Założenia,wskaźniki, listy'!$G$47,IF(N142="olej opałowy",Q142*'Założenia,wskaźniki, listy'!$G$47,IF(N142="sieć ciepłownicza",0,IF(N142="prąd",0,0)))))))</f>
        <v>0</v>
      </c>
      <c r="AE142" s="639">
        <f>IF(N142="węgiel",Q142*'Założenia,wskaźniki, listy'!$C$48,IF(N142="gaz",Q142*'Założenia,wskaźniki, listy'!$D$48,IF(N142="drewno",Q142*'Założenia,wskaźniki, listy'!$E$48,IF(N142="pelet",Q142*'Założenia,wskaźniki, listy'!$G$48,IF(N142="olej opałowy",Q142*'Założenia,wskaźniki, listy'!$G$48,IF(N142="sieć ciepłownicza",0,IF(N142="prąd",0,0)))))))</f>
        <v>0</v>
      </c>
      <c r="AF142" s="639">
        <f>IF(N142="węgiel",Q142*'Założenia,wskaźniki, listy'!$C$49,IF(N142="gaz",Q142*'Założenia,wskaźniki, listy'!$D$49,IF(N142="drewno",Q142*'Założenia,wskaźniki, listy'!$E$49,IF(N142="pelet",Q142*'Założenia,wskaźniki, listy'!$G$49,IF(N142="olej opałowy",Q142*'Założenia,wskaźniki, listy'!$G$49,IF(N142="sieć ciepłownicza",0,IF(N142="prąd",0,0)))))))</f>
        <v>0</v>
      </c>
      <c r="AG142" s="639">
        <f>IF(N142="węgiel",Q142*'Założenia,wskaźniki, listy'!$C$50,IF(N142="gaz",Q142*'Założenia,wskaźniki, listy'!$D$50,IF(N142="drewno",Q142*'Założenia,wskaźniki, listy'!$E$50,IF(N142="pelet",Q142*'Założenia,wskaźniki, listy'!$G$50,IF(N142="olej opałowy",Q142*'Założenia,wskaźniki, listy'!$G$50,IF(N142="sieć ciepłownicza",0,IF(N142="prąd",0,0)))))))</f>
        <v>0</v>
      </c>
      <c r="AH142" s="640">
        <f>IF(L142="węgiel",(P142+R142)/2*'Założenia,wskaźniki, listy'!$C$4,IF(L142="gaz",(P142+R142)/2*'Założenia,wskaźniki, listy'!$C$5,IF(L142="drewno",(P142+R142)/2*'Założenia,wskaźniki, listy'!$C$6,IF(L142="pelet",(P142+R142)/2*'Założenia,wskaźniki, listy'!$C$7,IF(L142="olej opałowy",(P142+R142)/2*'Założenia,wskaźniki, listy'!$C$8,IF(L142="sieć ciepłownicza",(P142+R142)/2*'Założenia,wskaźniki, listy'!$C$9,IF(L142="sieć ciepłownicza",(P142+R142)/2*'Założenia,wskaźniki, listy'!$C$10,)))))))</f>
        <v>0</v>
      </c>
      <c r="AI142" s="640">
        <f>IF(N142="węgiel",Q142*'Założenia,wskaźniki, listy'!$C$4,IF(N142="gaz",Q142*'Założenia,wskaźniki, listy'!$C$5,IF(N142="drewno",Q142*'Założenia,wskaźniki, listy'!$C$6,IF(N142="pelet",Q142*'Założenia,wskaźniki, listy'!$C$7,IF(N142="olej opałowy",Q142*'Założenia,wskaźniki, listy'!$C$8,IF(N142="sieć ciepłownicza",Q142*'Założenia,wskaźniki, listy'!$C$9,IF(N142="sieć ciepłownicza",Q142*'Założenia,wskaźniki, listy'!$C$10,0)))))))</f>
        <v>0</v>
      </c>
      <c r="AJ142" s="640">
        <f>S142*'Założenia,wskaźniki, listy'!$B$64*1000</f>
        <v>0</v>
      </c>
      <c r="AK142" s="640">
        <f>(H142+I142)*'Założenia,wskaźniki, listy'!$D$64*12</f>
        <v>0</v>
      </c>
      <c r="AL142" s="640">
        <f>AK142*'Założenia,wskaźniki, listy'!$F$64</f>
        <v>0</v>
      </c>
      <c r="AM142" s="639">
        <f t="shared" si="206"/>
        <v>0</v>
      </c>
      <c r="AN142" s="639">
        <f t="shared" si="207"/>
        <v>0</v>
      </c>
      <c r="AO142" s="639">
        <f>V142+AC142+S142*'Założenia,wskaźniki, listy'!$J$46</f>
        <v>0</v>
      </c>
      <c r="AP142" s="639">
        <f t="shared" si="208"/>
        <v>0</v>
      </c>
      <c r="AQ142" s="639">
        <f t="shared" si="209"/>
        <v>0</v>
      </c>
      <c r="AR142" s="639">
        <f t="shared" si="210"/>
        <v>0</v>
      </c>
      <c r="AS142" s="639">
        <f t="shared" si="211"/>
        <v>0</v>
      </c>
      <c r="AT142" s="647"/>
      <c r="AU142" s="647"/>
      <c r="AV142" s="624">
        <f t="shared" si="241"/>
        <v>0</v>
      </c>
      <c r="AW142" s="624" t="b">
        <f t="shared" si="242"/>
        <v>0</v>
      </c>
      <c r="AX142" s="624" t="b">
        <f t="shared" si="243"/>
        <v>0</v>
      </c>
      <c r="AY142" s="624" t="b">
        <f t="shared" si="244"/>
        <v>0</v>
      </c>
      <c r="AZ142" s="624" t="b">
        <f t="shared" si="245"/>
        <v>0</v>
      </c>
      <c r="BA142" s="624" t="b">
        <f t="shared" si="246"/>
        <v>0</v>
      </c>
      <c r="BB142" s="624" t="b">
        <f t="shared" si="247"/>
        <v>0</v>
      </c>
      <c r="BC142" s="624" t="b">
        <f t="shared" si="248"/>
        <v>0</v>
      </c>
      <c r="BD142" s="624" t="b">
        <f t="shared" si="249"/>
        <v>0</v>
      </c>
      <c r="BE142" s="624" t="b">
        <f t="shared" si="250"/>
        <v>0</v>
      </c>
      <c r="BF142" s="624" t="b">
        <f t="shared" si="251"/>
        <v>0</v>
      </c>
      <c r="BG142" s="624" t="b">
        <f t="shared" si="252"/>
        <v>0</v>
      </c>
      <c r="BH142" s="624" t="b">
        <f t="shared" si="253"/>
        <v>0</v>
      </c>
      <c r="BI142" s="624" t="b">
        <f t="shared" si="254"/>
        <v>0</v>
      </c>
      <c r="BJ142" s="624" t="b">
        <f t="shared" si="255"/>
        <v>0</v>
      </c>
      <c r="BK142" s="624" t="b">
        <f t="shared" si="256"/>
        <v>0</v>
      </c>
      <c r="BL142" s="624" t="b">
        <f t="shared" si="257"/>
        <v>0</v>
      </c>
      <c r="BM142" s="624" t="b">
        <f t="shared" si="258"/>
        <v>0</v>
      </c>
      <c r="BN142" s="624" t="b">
        <f t="shared" si="259"/>
        <v>0</v>
      </c>
      <c r="BO142" s="624" t="b">
        <f t="shared" si="260"/>
        <v>0</v>
      </c>
      <c r="BP142" s="624" t="b">
        <f t="shared" si="261"/>
        <v>0</v>
      </c>
      <c r="BQ142" s="624" t="b">
        <f t="shared" si="262"/>
        <v>0</v>
      </c>
    </row>
    <row r="143" spans="1:69">
      <c r="A143" s="1086">
        <v>70</v>
      </c>
      <c r="B143" s="872" t="s">
        <v>21</v>
      </c>
      <c r="C143" s="873" t="s">
        <v>634</v>
      </c>
      <c r="D143" s="645"/>
      <c r="E143" s="645" t="s">
        <v>633</v>
      </c>
      <c r="F143" s="644">
        <v>1976</v>
      </c>
      <c r="G143" s="644">
        <v>60</v>
      </c>
      <c r="H143" s="644"/>
      <c r="I143" s="635"/>
      <c r="J143" s="644">
        <f>IF(F143&lt;=1966,'Założenia,wskaźniki, listy'!$H$4,IF(F143&gt;1966,IF(F143&lt;=1985,'Założenia,wskaźniki, listy'!$H$5,IF(F143&gt;1985,IF(F143&lt;=1992,'Założenia,wskaźniki, listy'!$H$6,IF(F143&gt;1992,IF(F143&lt;=1996,'Założenia,wskaźniki, listy'!$H$7,IF(F143&gt;1996,IF(F143&lt;=2015,'Założenia,wskaźniki, listy'!$H$8)))))))))</f>
        <v>250</v>
      </c>
      <c r="K143" s="864" t="s">
        <v>31</v>
      </c>
      <c r="L143" s="644" t="s">
        <v>8</v>
      </c>
      <c r="M143" s="644">
        <v>2</v>
      </c>
      <c r="N143" s="644"/>
      <c r="O143" s="637">
        <f t="shared" si="240"/>
        <v>49.61</v>
      </c>
      <c r="P143" s="646">
        <f>IF(K143="kompletna",J143*G143*0.0036*'Założenia,wskaźniki, listy'!$P$9,IF(K143="częściowa",J143*G143*0.0036*'Założenia,wskaźniki, listy'!$P$10,IF(K143="brak",J143*G143*0.0036*'Założenia,wskaźniki, listy'!$P$11,0)))</f>
        <v>54</v>
      </c>
      <c r="Q143" s="638">
        <f>H143*'Założenia,wskaźniki, listy'!$L$15</f>
        <v>0</v>
      </c>
      <c r="R143" s="635">
        <f>IF(L143="węgiel",'Mieszkalne - baza'!M143*'Założenia,wskaźniki, listy'!$B$4,IF(L143="gaz",'Mieszkalne - baza'!M143*'Założenia,wskaźniki, listy'!$B$5,IF(L143="drewno",'Mieszkalne - baza'!M143*'Założenia,wskaźniki, listy'!$B$6,IF(L143="pelet",'Mieszkalne - baza'!M143*'Założenia,wskaźniki, listy'!$B$7,IF(L143="olej opałowy",'Mieszkalne - baza'!M143*'Założenia,wskaźniki, listy'!$B$8,IF(L143="sieć ciepłownicza",0,0))))))</f>
        <v>45.22</v>
      </c>
      <c r="S143" s="1084">
        <v>1.6919999999999999</v>
      </c>
      <c r="T143" s="639">
        <f>IF(L143="węgiel",R143*'Założenia,wskaźniki, listy'!$C$44,IF(L143="gaz",R143*'Założenia,wskaźniki, listy'!$D$44,IF(L143="drewno",R143*'Założenia,wskaźniki, listy'!$E$44,IF(L143="pelet",R143*'Założenia,wskaźniki, listy'!$F$44,IF(L143="olej opałowy",R143*'Założenia,wskaźniki, listy'!$G$44,IF(L143="sieć ciepłownicza",0,IF(L143="prąd",0,0)))))))</f>
        <v>1.01745E-2</v>
      </c>
      <c r="U143" s="639">
        <f>IF(L143="węgiel",R143*'Założenia,wskaźniki, listy'!$C$45,IF(L143="gaz",R143*'Założenia,wskaźniki, listy'!$D$45,IF(L143="drewno",R143*'Założenia,wskaźniki, listy'!$E$45,IF(L143="pelet",R143*'Założenia,wskaźniki, listy'!$F$45,IF(L143="olej opałowy",R143*'Założenia,wskaźniki, listy'!$G$45,IF(L143="sieć ciepłownicza",0,IF(L143="prąd",0,0)))))))</f>
        <v>9.0892200000000003E-3</v>
      </c>
      <c r="V143" s="639">
        <f>IF(L143="węgiel",R143*'Założenia,wskaźniki, listy'!$C$46,IF(L143="gaz",R143*'Założenia,wskaźniki, listy'!$D$46,IF(L143="drewno",R143*'Założenia,wskaźniki, listy'!$E$46,IF(L143="pelet",R143*'Założenia,wskaźniki, listy'!$F$46,IF(L143="olej opałowy",R143*'Założenia,wskaźniki, listy'!$G$46,IF(L143="sieć ciepłownicza",R143*'Założenia,wskaźniki, listy'!$H$46,IF(L143="prąd",R143*'Założenia,wskaźniki, listy'!$I$46,0)))))))</f>
        <v>4.2389227999999992</v>
      </c>
      <c r="W143" s="639">
        <f>IF(L143="węgiel",R143*'Założenia,wskaźniki, listy'!$C$47,IF(L143="gaz",R143*'Założenia,wskaźniki, listy'!$D$47,IF(L143="drewno",R143*'Założenia,wskaźniki, listy'!$E$47,IF(L143="pelet",R143*'Założenia,wskaźniki, listy'!$F$47,IF(L143="olej opałowy",R143*'Założenia,wskaźniki, listy'!$G$47,IF(L143="sieć ciepłownicza",0,IF(L143="prąd",0,0)))))))</f>
        <v>1.22094E-5</v>
      </c>
      <c r="X143" s="639">
        <f>IF(L143="węgiel",R143*'Założenia,wskaźniki, listy'!$C$48, IF(L143="gaz",R143*'Założenia,wskaźniki, listy'!$D$48,IF(L143="drewno",R143*'Założenia,wskaźniki, listy'!$E$48,IF(L143="pelet",R143*'Założenia,wskaźniki, listy'!$F$48,IF(L143="olej opałowy",R143*'Założenia,wskaźniki, listy'!$G$48,IF(L143="sieć ciepłownicza",0,IF(L143="prąd",0,0)))))))</f>
        <v>4.0697999999999998E-2</v>
      </c>
      <c r="Y143" s="639">
        <f>IF(L143="węgiel",R143*'Założenia,wskaźniki, listy'!$C$49, IF(L143="gaz",R143*'Założenia,wskaźniki, listy'!$D$49, IF(L143="drewno",R143*'Założenia,wskaźniki, listy'!$E$49,IF(L143="pelet",R143*'Założenia,wskaźniki, listy'!$F$49,IF(L143="olej opałowy",R143*'Założenia,wskaźniki, listy'!$G$49,IF(L143="sieć ciepłownicza",0,IF(L143="prąd",0,0)))))))</f>
        <v>7.1447599999999991E-3</v>
      </c>
      <c r="Z143" s="639">
        <f>IF(L143="węgiel",R143*'Założenia,wskaźniki, listy'!$C$50,IF(L143="gaz",R143*'Założenia,wskaźniki, listy'!$D$50, IF(L143="drewno",R143*'Założenia,wskaźniki, listy'!$E$50,IF(L143="pelet",R143*'Założenia,wskaźniki, listy'!$F$50,IF(L143="pelet",R143*'Założenia,wskaźniki, listy'!$F$50,IF(L143="olej opałowy",R143*'Założenia,wskaźniki, listy'!$G$50,IF(L143="sieć ciepłownicza",0,IF(L143="prąd",0,0))))))))</f>
        <v>9.0965578900312913E-2</v>
      </c>
      <c r="AA143" s="639">
        <f>IF(N143="węgiel",Q143*'Założenia,wskaźniki, listy'!$C$44,IF(N143="gaz",Q143*'Założenia,wskaźniki, listy'!$D$44,IF(N143="drewno",Q143*'Założenia,wskaźniki, listy'!$E$44,IF(N143="pelet",Q143*'Założenia,wskaźniki, listy'!$G$44,IF(N143="olej opałowy",Q143*'Założenia,wskaźniki, listy'!$G$44,IF(N143="sieć ciepłownicza",0,IF(N143="prąd",0,0)))))))</f>
        <v>0</v>
      </c>
      <c r="AB143" s="639">
        <f>IF(N143="węgiel",Q143*'Założenia,wskaźniki, listy'!$C$45,IF(N143="gaz",Q143*'Założenia,wskaźniki, listy'!$D$45,IF(N143="drewno",Q143*'Założenia,wskaźniki, listy'!$E$45,IF(N143="pelet",Q143*'Założenia,wskaźniki, listy'!$G$45,IF(N143="olej opałowy",Q143*'Założenia,wskaźniki, listy'!$G$45,IF(N143="sieć ciepłownicza",0,IF(N143="prąd",0,0)))))))</f>
        <v>0</v>
      </c>
      <c r="AC143" s="639">
        <f>IF(N143="węgiel",Q143*'Założenia,wskaźniki, listy'!$C$46,IF(N143="gaz",Q143*'Założenia,wskaźniki, listy'!$D$46,IF(N143="drewno",Q143*'Założenia,wskaźniki, listy'!$E$46,IF(N143="pelet",Q143*'Założenia,wskaźniki, listy'!$G$46,IF(N143="olej opałowy",Q143*'Założenia,wskaźniki, listy'!$G$46,IF(N143="sieć ciepłownicza",0,IF(N143="prąd",0,0)))))))</f>
        <v>0</v>
      </c>
      <c r="AD143" s="639">
        <f>IF(N143="węgiel",Q143*'Założenia,wskaźniki, listy'!$C$47,IF(N143="gaz",Q143*'Założenia,wskaźniki, listy'!$D$47,IF(N143="drewno",Q143*'Założenia,wskaźniki, listy'!$E$47,IF(N143="pelet",Q143*'Założenia,wskaźniki, listy'!$G$47,IF(N143="olej opałowy",Q143*'Założenia,wskaźniki, listy'!$G$47,IF(N143="sieć ciepłownicza",0,IF(N143="prąd",0,0)))))))</f>
        <v>0</v>
      </c>
      <c r="AE143" s="639">
        <f>IF(N143="węgiel",Q143*'Założenia,wskaźniki, listy'!$C$48,IF(N143="gaz",Q143*'Założenia,wskaźniki, listy'!$D$48,IF(N143="drewno",Q143*'Założenia,wskaźniki, listy'!$E$48,IF(N143="pelet",Q143*'Założenia,wskaźniki, listy'!$G$48,IF(N143="olej opałowy",Q143*'Założenia,wskaźniki, listy'!$G$48,IF(N143="sieć ciepłownicza",0,IF(N143="prąd",0,0)))))))</f>
        <v>0</v>
      </c>
      <c r="AF143" s="639">
        <f>IF(N143="węgiel",Q143*'Założenia,wskaźniki, listy'!$C$49,IF(N143="gaz",Q143*'Założenia,wskaźniki, listy'!$D$49,IF(N143="drewno",Q143*'Założenia,wskaźniki, listy'!$E$49,IF(N143="pelet",Q143*'Założenia,wskaźniki, listy'!$G$49,IF(N143="olej opałowy",Q143*'Założenia,wskaźniki, listy'!$G$49,IF(N143="sieć ciepłownicza",0,IF(N143="prąd",0,0)))))))</f>
        <v>0</v>
      </c>
      <c r="AG143" s="639">
        <f>IF(N143="węgiel",Q143*'Założenia,wskaźniki, listy'!$C$50,IF(N143="gaz",Q143*'Założenia,wskaźniki, listy'!$D$50,IF(N143="drewno",Q143*'Założenia,wskaźniki, listy'!$E$50,IF(N143="pelet",Q143*'Założenia,wskaźniki, listy'!$G$50,IF(N143="olej opałowy",Q143*'Założenia,wskaźniki, listy'!$G$50,IF(N143="sieć ciepłownicza",0,IF(N143="prąd",0,0)))))))</f>
        <v>0</v>
      </c>
      <c r="AH143" s="640">
        <f>IF(L143="węgiel",(P143+R143)/2*'Założenia,wskaźniki, listy'!$C$4,IF(L143="gaz",(P143+R143)/2*'Założenia,wskaźniki, listy'!$C$5,IF(L143="drewno",(P143+R143)/2*'Założenia,wskaźniki, listy'!$C$6,IF(L143="pelet",(P143+R143)/2*'Założenia,wskaźniki, listy'!$C$7,IF(L143="olej opałowy",(P143+R143)/2*'Założenia,wskaźniki, listy'!$C$8,IF(L143="sieć ciepłownicza",(P143+R143)/2*'Założenia,wskaźniki, listy'!$C$9,IF(L143="sieć ciepłownicza",(P143+R143)/2*'Założenia,wskaźniki, listy'!$C$10,)))))))</f>
        <v>2034.01</v>
      </c>
      <c r="AI143" s="640">
        <f>IF(N143="węgiel",Q143*'Założenia,wskaźniki, listy'!$C$4,IF(N143="gaz",Q143*'Założenia,wskaźniki, listy'!$C$5,IF(N143="drewno",Q143*'Założenia,wskaźniki, listy'!$C$6,IF(N143="pelet",Q143*'Założenia,wskaźniki, listy'!$C$7,IF(N143="olej opałowy",Q143*'Założenia,wskaźniki, listy'!$C$8,IF(N143="sieć ciepłownicza",Q143*'Założenia,wskaźniki, listy'!$C$9,IF(N143="sieć ciepłownicza",Q143*'Założenia,wskaźniki, listy'!$C$10,0)))))))</f>
        <v>0</v>
      </c>
      <c r="AJ143" s="640">
        <f>S143*'Założenia,wskaźniki, listy'!$B$64*1000</f>
        <v>1201.32</v>
      </c>
      <c r="AK143" s="640">
        <f>(H143+I143)*'Założenia,wskaźniki, listy'!$D$64*12</f>
        <v>0</v>
      </c>
      <c r="AL143" s="640">
        <f>AK143*'Założenia,wskaźniki, listy'!$F$64</f>
        <v>0</v>
      </c>
      <c r="AM143" s="639">
        <f t="shared" si="206"/>
        <v>1.01745E-2</v>
      </c>
      <c r="AN143" s="639">
        <f t="shared" si="207"/>
        <v>9.0892200000000003E-3</v>
      </c>
      <c r="AO143" s="639">
        <f>V143+AC143+S143*'Założenia,wskaźniki, listy'!$J$46</f>
        <v>5.6458207999999992</v>
      </c>
      <c r="AP143" s="639">
        <f t="shared" si="208"/>
        <v>1.22094E-5</v>
      </c>
      <c r="AQ143" s="639">
        <f t="shared" si="209"/>
        <v>4.0697999999999998E-2</v>
      </c>
      <c r="AR143" s="639">
        <f t="shared" si="210"/>
        <v>7.1447599999999991E-3</v>
      </c>
      <c r="AS143" s="639">
        <f t="shared" si="211"/>
        <v>9.0965578900312913E-2</v>
      </c>
      <c r="AT143" s="647"/>
      <c r="AU143" s="647"/>
      <c r="AV143" s="624" t="b">
        <f t="shared" si="241"/>
        <v>0</v>
      </c>
      <c r="AW143" s="624" t="b">
        <f t="shared" si="242"/>
        <v>0</v>
      </c>
      <c r="AX143" s="624">
        <f t="shared" si="243"/>
        <v>60</v>
      </c>
      <c r="AY143" s="624" t="b">
        <f t="shared" si="244"/>
        <v>0</v>
      </c>
      <c r="AZ143" s="624" t="b">
        <f t="shared" si="245"/>
        <v>0</v>
      </c>
      <c r="BA143" s="624" t="b">
        <f t="shared" si="246"/>
        <v>0</v>
      </c>
      <c r="BB143" s="624" t="b">
        <f t="shared" si="247"/>
        <v>0</v>
      </c>
      <c r="BC143" s="624" t="b">
        <f t="shared" si="248"/>
        <v>0</v>
      </c>
      <c r="BD143" s="624" t="b">
        <f t="shared" si="249"/>
        <v>0</v>
      </c>
      <c r="BE143" s="624" t="b">
        <f t="shared" si="250"/>
        <v>0</v>
      </c>
      <c r="BF143" s="624">
        <f t="shared" si="251"/>
        <v>45.22</v>
      </c>
      <c r="BG143" s="624" t="b">
        <f t="shared" si="252"/>
        <v>0</v>
      </c>
      <c r="BH143" s="624" t="b">
        <f t="shared" si="253"/>
        <v>0</v>
      </c>
      <c r="BI143" s="624" t="b">
        <f t="shared" si="254"/>
        <v>0</v>
      </c>
      <c r="BJ143" s="624" t="b">
        <f t="shared" si="255"/>
        <v>0</v>
      </c>
      <c r="BK143" s="624" t="b">
        <f t="shared" si="256"/>
        <v>0</v>
      </c>
      <c r="BL143" s="624" t="b">
        <f t="shared" si="257"/>
        <v>0</v>
      </c>
      <c r="BM143" s="624" t="b">
        <f t="shared" si="258"/>
        <v>0</v>
      </c>
      <c r="BN143" s="624" t="b">
        <f t="shared" si="259"/>
        <v>0</v>
      </c>
      <c r="BO143" s="624" t="b">
        <f t="shared" si="260"/>
        <v>0</v>
      </c>
      <c r="BP143" s="624" t="b">
        <f t="shared" si="261"/>
        <v>0</v>
      </c>
      <c r="BQ143" s="624" t="b">
        <f t="shared" si="262"/>
        <v>0</v>
      </c>
    </row>
    <row r="144" spans="1:69" ht="8.25" customHeight="1">
      <c r="A144" s="1087"/>
      <c r="B144" s="872"/>
      <c r="C144" s="872"/>
      <c r="D144" s="645"/>
      <c r="E144" s="645"/>
      <c r="F144" s="644"/>
      <c r="G144" s="644"/>
      <c r="H144" s="644"/>
      <c r="I144" s="635"/>
      <c r="J144" s="644">
        <f>IF(F144&lt;=1966,'Założenia,wskaźniki, listy'!$H$4,IF(F144&gt;1966,IF(F144&lt;=1985,'Założenia,wskaźniki, listy'!$H$5,IF(F144&gt;1985,IF(F144&lt;=1992,'Założenia,wskaźniki, listy'!$H$6,IF(F144&gt;1992,IF(F144&lt;=1996,'Założenia,wskaźniki, listy'!$H$7,IF(F144&gt;1996,IF(F144&lt;=2015,'Założenia,wskaźniki, listy'!$H$8)))))))))</f>
        <v>290</v>
      </c>
      <c r="K144" s="872"/>
      <c r="L144" s="644"/>
      <c r="M144" s="644"/>
      <c r="N144" s="644"/>
      <c r="O144" s="637">
        <f t="shared" si="240"/>
        <v>0</v>
      </c>
      <c r="P144" s="646">
        <f>IF(K144="kompletna",J144*G144*0.0036*'Założenia,wskaźniki, listy'!$P$9,IF(K144="częściowa",J144*G144*0.0036*'Założenia,wskaźniki, listy'!$P$10,IF(K144="brak",J144*G144*0.0036*'Założenia,wskaźniki, listy'!$P$11,0)))</f>
        <v>0</v>
      </c>
      <c r="Q144" s="638">
        <f>H144*'Założenia,wskaźniki, listy'!$L$15</f>
        <v>0</v>
      </c>
      <c r="R144" s="635">
        <f>IF(L144="węgiel",'Mieszkalne - baza'!M144*'Założenia,wskaźniki, listy'!$B$4,IF(L144="gaz",'Mieszkalne - baza'!M144*'Założenia,wskaźniki, listy'!$B$5,IF(L144="drewno",'Mieszkalne - baza'!M144*'Założenia,wskaźniki, listy'!$B$6,IF(L144="pelet",'Mieszkalne - baza'!M144*'Założenia,wskaźniki, listy'!$B$7,IF(L144="olej opałowy",'Mieszkalne - baza'!M144*'Założenia,wskaźniki, listy'!$B$8,IF(L144="sieć ciepłownicza",0,0))))))</f>
        <v>0</v>
      </c>
      <c r="S144" s="1085"/>
      <c r="T144" s="639">
        <f>IF(L144="węgiel",R144*'Założenia,wskaźniki, listy'!$C$44,IF(L144="gaz",R144*'Założenia,wskaźniki, listy'!$D$44,IF(L144="drewno",R144*'Założenia,wskaźniki, listy'!$E$44,IF(L144="pelet",R144*'Założenia,wskaźniki, listy'!$F$44,IF(L144="olej opałowy",R144*'Założenia,wskaźniki, listy'!$G$44,IF(L144="sieć ciepłownicza",0,IF(L144="prąd",0,0)))))))</f>
        <v>0</v>
      </c>
      <c r="U144" s="639">
        <f>IF(L144="węgiel",R144*'Założenia,wskaźniki, listy'!$C$45,IF(L144="gaz",R144*'Założenia,wskaźniki, listy'!$D$45,IF(L144="drewno",R144*'Założenia,wskaźniki, listy'!$E$45,IF(L144="pelet",R144*'Założenia,wskaźniki, listy'!$F$45,IF(L144="olej opałowy",R144*'Założenia,wskaźniki, listy'!$G$45,IF(L144="sieć ciepłownicza",0,IF(L144="prąd",0,0)))))))</f>
        <v>0</v>
      </c>
      <c r="V144" s="639">
        <f>IF(L144="węgiel",R144*'Założenia,wskaźniki, listy'!$C$46,IF(L144="gaz",R144*'Założenia,wskaźniki, listy'!$D$46,IF(L144="drewno",R144*'Założenia,wskaźniki, listy'!$E$46,IF(L144="pelet",R144*'Założenia,wskaźniki, listy'!$F$46,IF(L144="olej opałowy",R144*'Założenia,wskaźniki, listy'!$G$46,IF(L144="sieć ciepłownicza",R144*'Założenia,wskaźniki, listy'!$H$46,IF(L144="prąd",R144*'Założenia,wskaźniki, listy'!$I$46,0)))))))</f>
        <v>0</v>
      </c>
      <c r="W144" s="639">
        <f>IF(L144="węgiel",R144*'Założenia,wskaźniki, listy'!$C$47,IF(L144="gaz",R144*'Założenia,wskaźniki, listy'!$D$47,IF(L144="drewno",R144*'Założenia,wskaźniki, listy'!$E$47,IF(L144="pelet",R144*'Założenia,wskaźniki, listy'!$F$47,IF(L144="olej opałowy",R144*'Założenia,wskaźniki, listy'!$G$47,IF(L144="sieć ciepłownicza",0,IF(L144="prąd",0,0)))))))</f>
        <v>0</v>
      </c>
      <c r="X144" s="639">
        <f>IF(L144="węgiel",R144*'Założenia,wskaźniki, listy'!$C$48, IF(L144="gaz",R144*'Założenia,wskaźniki, listy'!$D$48,IF(L144="drewno",R144*'Założenia,wskaźniki, listy'!$E$48,IF(L144="pelet",R144*'Założenia,wskaźniki, listy'!$F$48,IF(L144="olej opałowy",R144*'Założenia,wskaźniki, listy'!$G$48,IF(L144="sieć ciepłownicza",0,IF(L144="prąd",0,0)))))))</f>
        <v>0</v>
      </c>
      <c r="Y144" s="639">
        <f>IF(L144="węgiel",R144*'Założenia,wskaźniki, listy'!$C$49, IF(L144="gaz",R144*'Założenia,wskaźniki, listy'!$D$49, IF(L144="drewno",R144*'Założenia,wskaźniki, listy'!$E$49,IF(L144="pelet",R144*'Założenia,wskaźniki, listy'!$F$49,IF(L144="olej opałowy",R144*'Założenia,wskaźniki, listy'!$G$49,IF(L144="sieć ciepłownicza",0,IF(L144="prąd",0,0)))))))</f>
        <v>0</v>
      </c>
      <c r="Z144" s="639">
        <f>IF(L144="węgiel",R144*'Założenia,wskaźniki, listy'!$C$50,IF(L144="gaz",R144*'Założenia,wskaźniki, listy'!$D$50, IF(L144="drewno",R144*'Założenia,wskaźniki, listy'!$E$50,IF(L144="pelet",R144*'Założenia,wskaźniki, listy'!$F$50,IF(L144="pelet",R144*'Założenia,wskaźniki, listy'!$F$50,IF(L144="olej opałowy",R144*'Założenia,wskaźniki, listy'!$G$50,IF(L144="sieć ciepłownicza",0,IF(L144="prąd",0,0))))))))</f>
        <v>0</v>
      </c>
      <c r="AA144" s="639">
        <f>IF(N144="węgiel",Q144*'Założenia,wskaźniki, listy'!$C$44,IF(N144="gaz",Q144*'Założenia,wskaźniki, listy'!$D$44,IF(N144="drewno",Q144*'Założenia,wskaźniki, listy'!$E$44,IF(N144="pelet",Q144*'Założenia,wskaźniki, listy'!$G$44,IF(N144="olej opałowy",Q144*'Założenia,wskaźniki, listy'!$G$44,IF(N144="sieć ciepłownicza",0,IF(N144="prąd",0,0)))))))</f>
        <v>0</v>
      </c>
      <c r="AB144" s="639">
        <f>IF(N144="węgiel",Q144*'Założenia,wskaźniki, listy'!$C$45,IF(N144="gaz",Q144*'Założenia,wskaźniki, listy'!$D$45,IF(N144="drewno",Q144*'Założenia,wskaźniki, listy'!$E$45,IF(N144="pelet",Q144*'Założenia,wskaźniki, listy'!$G$45,IF(N144="olej opałowy",Q144*'Założenia,wskaźniki, listy'!$G$45,IF(N144="sieć ciepłownicza",0,IF(N144="prąd",0,0)))))))</f>
        <v>0</v>
      </c>
      <c r="AC144" s="639">
        <f>IF(N144="węgiel",Q144*'Założenia,wskaźniki, listy'!$C$46,IF(N144="gaz",Q144*'Założenia,wskaźniki, listy'!$D$46,IF(N144="drewno",Q144*'Założenia,wskaźniki, listy'!$E$46,IF(N144="pelet",Q144*'Założenia,wskaźniki, listy'!$G$46,IF(N144="olej opałowy",Q144*'Założenia,wskaźniki, listy'!$G$46,IF(N144="sieć ciepłownicza",0,IF(N144="prąd",0,0)))))))</f>
        <v>0</v>
      </c>
      <c r="AD144" s="639">
        <f>IF(N144="węgiel",Q144*'Założenia,wskaźniki, listy'!$C$47,IF(N144="gaz",Q144*'Założenia,wskaźniki, listy'!$D$47,IF(N144="drewno",Q144*'Założenia,wskaźniki, listy'!$E$47,IF(N144="pelet",Q144*'Założenia,wskaźniki, listy'!$G$47,IF(N144="olej opałowy",Q144*'Założenia,wskaźniki, listy'!$G$47,IF(N144="sieć ciepłownicza",0,IF(N144="prąd",0,0)))))))</f>
        <v>0</v>
      </c>
      <c r="AE144" s="639">
        <f>IF(N144="węgiel",Q144*'Założenia,wskaźniki, listy'!$C$48,IF(N144="gaz",Q144*'Założenia,wskaźniki, listy'!$D$48,IF(N144="drewno",Q144*'Założenia,wskaźniki, listy'!$E$48,IF(N144="pelet",Q144*'Założenia,wskaźniki, listy'!$G$48,IF(N144="olej opałowy",Q144*'Założenia,wskaźniki, listy'!$G$48,IF(N144="sieć ciepłownicza",0,IF(N144="prąd",0,0)))))))</f>
        <v>0</v>
      </c>
      <c r="AF144" s="639">
        <f>IF(N144="węgiel",Q144*'Założenia,wskaźniki, listy'!$C$49,IF(N144="gaz",Q144*'Założenia,wskaźniki, listy'!$D$49,IF(N144="drewno",Q144*'Założenia,wskaźniki, listy'!$E$49,IF(N144="pelet",Q144*'Założenia,wskaźniki, listy'!$G$49,IF(N144="olej opałowy",Q144*'Założenia,wskaźniki, listy'!$G$49,IF(N144="sieć ciepłownicza",0,IF(N144="prąd",0,0)))))))</f>
        <v>0</v>
      </c>
      <c r="AG144" s="639">
        <f>IF(N144="węgiel",Q144*'Założenia,wskaźniki, listy'!$C$50,IF(N144="gaz",Q144*'Założenia,wskaźniki, listy'!$D$50,IF(N144="drewno",Q144*'Założenia,wskaźniki, listy'!$E$50,IF(N144="pelet",Q144*'Założenia,wskaźniki, listy'!$G$50,IF(N144="olej opałowy",Q144*'Założenia,wskaźniki, listy'!$G$50,IF(N144="sieć ciepłownicza",0,IF(N144="prąd",0,0)))))))</f>
        <v>0</v>
      </c>
      <c r="AH144" s="640">
        <f>IF(L144="węgiel",(P144+R144)/2*'Założenia,wskaźniki, listy'!$C$4,IF(L144="gaz",(P144+R144)/2*'Założenia,wskaźniki, listy'!$C$5,IF(L144="drewno",(P144+R144)/2*'Założenia,wskaźniki, listy'!$C$6,IF(L144="pelet",(P144+R144)/2*'Założenia,wskaźniki, listy'!$C$7,IF(L144="olej opałowy",(P144+R144)/2*'Założenia,wskaźniki, listy'!$C$8,IF(L144="sieć ciepłownicza",(P144+R144)/2*'Założenia,wskaźniki, listy'!$C$9,IF(L144="sieć ciepłownicza",(P144+R144)/2*'Założenia,wskaźniki, listy'!$C$10,)))))))</f>
        <v>0</v>
      </c>
      <c r="AI144" s="640">
        <f>IF(N144="węgiel",Q144*'Założenia,wskaźniki, listy'!$C$4,IF(N144="gaz",Q144*'Założenia,wskaźniki, listy'!$C$5,IF(N144="drewno",Q144*'Założenia,wskaźniki, listy'!$C$6,IF(N144="pelet",Q144*'Założenia,wskaźniki, listy'!$C$7,IF(N144="olej opałowy",Q144*'Założenia,wskaźniki, listy'!$C$8,IF(N144="sieć ciepłownicza",Q144*'Założenia,wskaźniki, listy'!$C$9,IF(N144="sieć ciepłownicza",Q144*'Założenia,wskaźniki, listy'!$C$10,0)))))))</f>
        <v>0</v>
      </c>
      <c r="AJ144" s="640">
        <f>S144*'Założenia,wskaźniki, listy'!$B$64*1000</f>
        <v>0</v>
      </c>
      <c r="AK144" s="640">
        <f>(H144+I144)*'Założenia,wskaźniki, listy'!$D$64*12</f>
        <v>0</v>
      </c>
      <c r="AL144" s="640">
        <f>AK144*'Założenia,wskaźniki, listy'!$F$64</f>
        <v>0</v>
      </c>
      <c r="AM144" s="639">
        <f t="shared" si="206"/>
        <v>0</v>
      </c>
      <c r="AN144" s="639">
        <f t="shared" si="207"/>
        <v>0</v>
      </c>
      <c r="AO144" s="639">
        <f>V144+AC144+S144*'Założenia,wskaźniki, listy'!$J$46</f>
        <v>0</v>
      </c>
      <c r="AP144" s="639">
        <f t="shared" si="208"/>
        <v>0</v>
      </c>
      <c r="AQ144" s="639">
        <f t="shared" si="209"/>
        <v>0</v>
      </c>
      <c r="AR144" s="639">
        <f t="shared" si="210"/>
        <v>0</v>
      </c>
      <c r="AS144" s="639">
        <f t="shared" si="211"/>
        <v>0</v>
      </c>
      <c r="AT144" s="647"/>
      <c r="AU144" s="647"/>
      <c r="AV144" s="624">
        <f t="shared" si="241"/>
        <v>0</v>
      </c>
      <c r="AW144" s="624" t="b">
        <f t="shared" si="242"/>
        <v>0</v>
      </c>
      <c r="AX144" s="624" t="b">
        <f t="shared" si="243"/>
        <v>0</v>
      </c>
      <c r="AY144" s="624" t="b">
        <f t="shared" si="244"/>
        <v>0</v>
      </c>
      <c r="AZ144" s="624" t="b">
        <f t="shared" si="245"/>
        <v>0</v>
      </c>
      <c r="BA144" s="624" t="b">
        <f t="shared" si="246"/>
        <v>0</v>
      </c>
      <c r="BB144" s="624" t="b">
        <f t="shared" si="247"/>
        <v>0</v>
      </c>
      <c r="BC144" s="624" t="b">
        <f t="shared" si="248"/>
        <v>0</v>
      </c>
      <c r="BD144" s="624" t="b">
        <f t="shared" si="249"/>
        <v>0</v>
      </c>
      <c r="BE144" s="624" t="b">
        <f t="shared" si="250"/>
        <v>0</v>
      </c>
      <c r="BF144" s="624" t="b">
        <f t="shared" si="251"/>
        <v>0</v>
      </c>
      <c r="BG144" s="624" t="b">
        <f t="shared" si="252"/>
        <v>0</v>
      </c>
      <c r="BH144" s="624" t="b">
        <f t="shared" si="253"/>
        <v>0</v>
      </c>
      <c r="BI144" s="624" t="b">
        <f t="shared" si="254"/>
        <v>0</v>
      </c>
      <c r="BJ144" s="624" t="b">
        <f t="shared" si="255"/>
        <v>0</v>
      </c>
      <c r="BK144" s="624" t="b">
        <f t="shared" si="256"/>
        <v>0</v>
      </c>
      <c r="BL144" s="624" t="b">
        <f t="shared" si="257"/>
        <v>0</v>
      </c>
      <c r="BM144" s="624" t="b">
        <f t="shared" si="258"/>
        <v>0</v>
      </c>
      <c r="BN144" s="624" t="b">
        <f t="shared" si="259"/>
        <v>0</v>
      </c>
      <c r="BO144" s="624" t="b">
        <f t="shared" si="260"/>
        <v>0</v>
      </c>
      <c r="BP144" s="624" t="b">
        <f t="shared" si="261"/>
        <v>0</v>
      </c>
      <c r="BQ144" s="624" t="b">
        <f t="shared" si="262"/>
        <v>0</v>
      </c>
    </row>
    <row r="145" spans="1:69">
      <c r="A145" s="1086">
        <v>71</v>
      </c>
      <c r="B145" s="872" t="s">
        <v>21</v>
      </c>
      <c r="C145" s="873" t="s">
        <v>634</v>
      </c>
      <c r="D145" s="645"/>
      <c r="E145" s="645">
        <v>20</v>
      </c>
      <c r="F145" s="644">
        <v>1962</v>
      </c>
      <c r="G145" s="644">
        <v>85</v>
      </c>
      <c r="H145" s="644"/>
      <c r="I145" s="635"/>
      <c r="J145" s="644">
        <f>IF(F145&lt;=1966,'Założenia,wskaźniki, listy'!$H$4,IF(F145&gt;1966,IF(F145&lt;=1985,'Założenia,wskaźniki, listy'!$H$5,IF(F145&gt;1985,IF(F145&lt;=1992,'Założenia,wskaźniki, listy'!$H$6,IF(F145&gt;1992,IF(F145&lt;=1996,'Założenia,wskaźniki, listy'!$H$7,IF(F145&gt;1996,IF(F145&lt;=2015,'Założenia,wskaźniki, listy'!$H$8)))))))))</f>
        <v>290</v>
      </c>
      <c r="K145" s="864" t="s">
        <v>33</v>
      </c>
      <c r="L145" s="644" t="s">
        <v>8</v>
      </c>
      <c r="M145" s="644">
        <v>3</v>
      </c>
      <c r="N145" s="644"/>
      <c r="O145" s="637">
        <f t="shared" si="240"/>
        <v>69.411000000000001</v>
      </c>
      <c r="P145" s="646">
        <f>IF(K145="kompletna",J145*G145*0.0036*'Założenia,wskaźniki, listy'!$P$9,IF(K145="częściowa",J145*G145*0.0036*'Założenia,wskaźniki, listy'!$P$10,IF(K145="brak",J145*G145*0.0036*'Założenia,wskaźniki, listy'!$P$11,0)))</f>
        <v>70.992000000000004</v>
      </c>
      <c r="Q145" s="638">
        <f>H145*'Założenia,wskaźniki, listy'!$L$15</f>
        <v>0</v>
      </c>
      <c r="R145" s="635">
        <f>IF(L145="węgiel",'Mieszkalne - baza'!M145*'Założenia,wskaźniki, listy'!$B$4,IF(L145="gaz",'Mieszkalne - baza'!M145*'Założenia,wskaźniki, listy'!$B$5,IF(L145="drewno",'Mieszkalne - baza'!M145*'Założenia,wskaźniki, listy'!$B$6,IF(L145="pelet",'Mieszkalne - baza'!M145*'Założenia,wskaźniki, listy'!$B$7,IF(L145="olej opałowy",'Mieszkalne - baza'!M145*'Założenia,wskaźniki, listy'!$B$8,IF(L145="sieć ciepłownicza",0,0))))))</f>
        <v>67.83</v>
      </c>
      <c r="S145" s="1084">
        <v>2.0304000000000002</v>
      </c>
      <c r="T145" s="639">
        <f>IF(L145="węgiel",R145*'Założenia,wskaźniki, listy'!$C$44,IF(L145="gaz",R145*'Założenia,wskaźniki, listy'!$D$44,IF(L145="drewno",R145*'Założenia,wskaźniki, listy'!$E$44,IF(L145="pelet",R145*'Założenia,wskaźniki, listy'!$F$44,IF(L145="olej opałowy",R145*'Założenia,wskaźniki, listy'!$G$44,IF(L145="sieć ciepłownicza",0,IF(L145="prąd",0,0)))))))</f>
        <v>1.5261749999999999E-2</v>
      </c>
      <c r="U145" s="639">
        <f>IF(L145="węgiel",R145*'Założenia,wskaźniki, listy'!$C$45,IF(L145="gaz",R145*'Założenia,wskaźniki, listy'!$D$45,IF(L145="drewno",R145*'Założenia,wskaźniki, listy'!$E$45,IF(L145="pelet",R145*'Założenia,wskaźniki, listy'!$F$45,IF(L145="olej opałowy",R145*'Założenia,wskaźniki, listy'!$G$45,IF(L145="sieć ciepłownicza",0,IF(L145="prąd",0,0)))))))</f>
        <v>1.363383E-2</v>
      </c>
      <c r="V145" s="639">
        <f>IF(L145="węgiel",R145*'Założenia,wskaźniki, listy'!$C$46,IF(L145="gaz",R145*'Założenia,wskaźniki, listy'!$D$46,IF(L145="drewno",R145*'Założenia,wskaźniki, listy'!$E$46,IF(L145="pelet",R145*'Założenia,wskaźniki, listy'!$F$46,IF(L145="olej opałowy",R145*'Założenia,wskaźniki, listy'!$G$46,IF(L145="sieć ciepłownicza",R145*'Założenia,wskaźniki, listy'!$H$46,IF(L145="prąd",R145*'Założenia,wskaźniki, listy'!$I$46,0)))))))</f>
        <v>6.3583841999999988</v>
      </c>
      <c r="W145" s="639">
        <f>IF(L145="węgiel",R145*'Założenia,wskaźniki, listy'!$C$47,IF(L145="gaz",R145*'Założenia,wskaźniki, listy'!$D$47,IF(L145="drewno",R145*'Założenia,wskaźniki, listy'!$E$47,IF(L145="pelet",R145*'Założenia,wskaźniki, listy'!$F$47,IF(L145="olej opałowy",R145*'Założenia,wskaźniki, listy'!$G$47,IF(L145="sieć ciepłownicza",0,IF(L145="prąd",0,0)))))))</f>
        <v>1.8314100000000001E-5</v>
      </c>
      <c r="X145" s="639">
        <f>IF(L145="węgiel",R145*'Założenia,wskaźniki, listy'!$C$48, IF(L145="gaz",R145*'Założenia,wskaźniki, listy'!$D$48,IF(L145="drewno",R145*'Założenia,wskaźniki, listy'!$E$48,IF(L145="pelet",R145*'Założenia,wskaźniki, listy'!$F$48,IF(L145="olej opałowy",R145*'Założenia,wskaźniki, listy'!$G$48,IF(L145="sieć ciepłownicza",0,IF(L145="prąd",0,0)))))))</f>
        <v>6.1046999999999997E-2</v>
      </c>
      <c r="Y145" s="639">
        <f>IF(L145="węgiel",R145*'Założenia,wskaźniki, listy'!$C$49, IF(L145="gaz",R145*'Założenia,wskaźniki, listy'!$D$49, IF(L145="drewno",R145*'Założenia,wskaźniki, listy'!$E$49,IF(L145="pelet",R145*'Założenia,wskaźniki, listy'!$F$49,IF(L145="olej opałowy",R145*'Założenia,wskaźniki, listy'!$G$49,IF(L145="sieć ciepłownicza",0,IF(L145="prąd",0,0)))))))</f>
        <v>1.071714E-2</v>
      </c>
      <c r="Z145" s="639">
        <f>IF(L145="węgiel",R145*'Założenia,wskaźniki, listy'!$C$50,IF(L145="gaz",R145*'Założenia,wskaźniki, listy'!$D$50, IF(L145="drewno",R145*'Założenia,wskaźniki, listy'!$E$50,IF(L145="pelet",R145*'Założenia,wskaźniki, listy'!$F$50,IF(L145="pelet",R145*'Założenia,wskaźniki, listy'!$F$50,IF(L145="olej opałowy",R145*'Założenia,wskaźniki, listy'!$G$50,IF(L145="sieć ciepłownicza",0,IF(L145="prąd",0,0))))))))</f>
        <v>0.13644836835046936</v>
      </c>
      <c r="AA145" s="639">
        <f>IF(N145="węgiel",Q145*'Założenia,wskaźniki, listy'!$C$44,IF(N145="gaz",Q145*'Założenia,wskaźniki, listy'!$D$44,IF(N145="drewno",Q145*'Założenia,wskaźniki, listy'!$E$44,IF(N145="pelet",Q145*'Założenia,wskaźniki, listy'!$G$44,IF(N145="olej opałowy",Q145*'Założenia,wskaźniki, listy'!$G$44,IF(N145="sieć ciepłownicza",0,IF(N145="prąd",0,0)))))))</f>
        <v>0</v>
      </c>
      <c r="AB145" s="639">
        <f>IF(N145="węgiel",Q145*'Założenia,wskaźniki, listy'!$C$45,IF(N145="gaz",Q145*'Założenia,wskaźniki, listy'!$D$45,IF(N145="drewno",Q145*'Założenia,wskaźniki, listy'!$E$45,IF(N145="pelet",Q145*'Założenia,wskaźniki, listy'!$G$45,IF(N145="olej opałowy",Q145*'Założenia,wskaźniki, listy'!$G$45,IF(N145="sieć ciepłownicza",0,IF(N145="prąd",0,0)))))))</f>
        <v>0</v>
      </c>
      <c r="AC145" s="639">
        <f>IF(N145="węgiel",Q145*'Założenia,wskaźniki, listy'!$C$46,IF(N145="gaz",Q145*'Założenia,wskaźniki, listy'!$D$46,IF(N145="drewno",Q145*'Założenia,wskaźniki, listy'!$E$46,IF(N145="pelet",Q145*'Założenia,wskaźniki, listy'!$G$46,IF(N145="olej opałowy",Q145*'Założenia,wskaźniki, listy'!$G$46,IF(N145="sieć ciepłownicza",0,IF(N145="prąd",0,0)))))))</f>
        <v>0</v>
      </c>
      <c r="AD145" s="639">
        <f>IF(N145="węgiel",Q145*'Założenia,wskaźniki, listy'!$C$47,IF(N145="gaz",Q145*'Założenia,wskaźniki, listy'!$D$47,IF(N145="drewno",Q145*'Założenia,wskaźniki, listy'!$E$47,IF(N145="pelet",Q145*'Założenia,wskaźniki, listy'!$G$47,IF(N145="olej opałowy",Q145*'Założenia,wskaźniki, listy'!$G$47,IF(N145="sieć ciepłownicza",0,IF(N145="prąd",0,0)))))))</f>
        <v>0</v>
      </c>
      <c r="AE145" s="639">
        <f>IF(N145="węgiel",Q145*'Założenia,wskaźniki, listy'!$C$48,IF(N145="gaz",Q145*'Założenia,wskaźniki, listy'!$D$48,IF(N145="drewno",Q145*'Założenia,wskaźniki, listy'!$E$48,IF(N145="pelet",Q145*'Założenia,wskaźniki, listy'!$G$48,IF(N145="olej opałowy",Q145*'Założenia,wskaźniki, listy'!$G$48,IF(N145="sieć ciepłownicza",0,IF(N145="prąd",0,0)))))))</f>
        <v>0</v>
      </c>
      <c r="AF145" s="639">
        <f>IF(N145="węgiel",Q145*'Założenia,wskaźniki, listy'!$C$49,IF(N145="gaz",Q145*'Założenia,wskaźniki, listy'!$D$49,IF(N145="drewno",Q145*'Założenia,wskaźniki, listy'!$E$49,IF(N145="pelet",Q145*'Założenia,wskaźniki, listy'!$G$49,IF(N145="olej opałowy",Q145*'Założenia,wskaźniki, listy'!$G$49,IF(N145="sieć ciepłownicza",0,IF(N145="prąd",0,0)))))))</f>
        <v>0</v>
      </c>
      <c r="AG145" s="639">
        <f>IF(N145="węgiel",Q145*'Założenia,wskaźniki, listy'!$C$50,IF(N145="gaz",Q145*'Założenia,wskaźniki, listy'!$D$50,IF(N145="drewno",Q145*'Założenia,wskaźniki, listy'!$E$50,IF(N145="pelet",Q145*'Założenia,wskaźniki, listy'!$G$50,IF(N145="olej opałowy",Q145*'Założenia,wskaźniki, listy'!$G$50,IF(N145="sieć ciepłownicza",0,IF(N145="prąd",0,0)))))))</f>
        <v>0</v>
      </c>
      <c r="AH145" s="640">
        <f>IF(L145="węgiel",(P145+R145)/2*'Założenia,wskaźniki, listy'!$C$4,IF(L145="gaz",(P145+R145)/2*'Założenia,wskaźniki, listy'!$C$5,IF(L145="drewno",(P145+R145)/2*'Założenia,wskaźniki, listy'!$C$6,IF(L145="pelet",(P145+R145)/2*'Założenia,wskaźniki, listy'!$C$7,IF(L145="olej opałowy",(P145+R145)/2*'Założenia,wskaźniki, listy'!$C$8,IF(L145="sieć ciepłownicza",(P145+R145)/2*'Założenia,wskaźniki, listy'!$C$9,IF(L145="sieć ciepłownicza",(P145+R145)/2*'Założenia,wskaźniki, listy'!$C$10,)))))))</f>
        <v>2845.8510000000001</v>
      </c>
      <c r="AI145" s="640">
        <f>IF(N145="węgiel",Q145*'Założenia,wskaźniki, listy'!$C$4,IF(N145="gaz",Q145*'Założenia,wskaźniki, listy'!$C$5,IF(N145="drewno",Q145*'Założenia,wskaźniki, listy'!$C$6,IF(N145="pelet",Q145*'Założenia,wskaźniki, listy'!$C$7,IF(N145="olej opałowy",Q145*'Założenia,wskaźniki, listy'!$C$8,IF(N145="sieć ciepłownicza",Q145*'Założenia,wskaźniki, listy'!$C$9,IF(N145="sieć ciepłownicza",Q145*'Założenia,wskaźniki, listy'!$C$10,0)))))))</f>
        <v>0</v>
      </c>
      <c r="AJ145" s="640">
        <f>S145*'Założenia,wskaźniki, listy'!$B$64*1000</f>
        <v>1441.5840000000001</v>
      </c>
      <c r="AK145" s="640">
        <f>(H145+I145)*'Założenia,wskaźniki, listy'!$D$64*12</f>
        <v>0</v>
      </c>
      <c r="AL145" s="640">
        <f>AK145*'Założenia,wskaźniki, listy'!$F$64</f>
        <v>0</v>
      </c>
      <c r="AM145" s="639">
        <f t="shared" si="206"/>
        <v>1.5261749999999999E-2</v>
      </c>
      <c r="AN145" s="639">
        <f t="shared" si="207"/>
        <v>1.363383E-2</v>
      </c>
      <c r="AO145" s="639">
        <f>V145+AC145+S145*'Założenia,wskaźniki, listy'!$J$46</f>
        <v>8.046661799999999</v>
      </c>
      <c r="AP145" s="639">
        <f t="shared" si="208"/>
        <v>1.8314100000000001E-5</v>
      </c>
      <c r="AQ145" s="639">
        <f t="shared" si="209"/>
        <v>6.1046999999999997E-2</v>
      </c>
      <c r="AR145" s="639">
        <f t="shared" si="210"/>
        <v>1.071714E-2</v>
      </c>
      <c r="AS145" s="639">
        <f t="shared" si="211"/>
        <v>0.13644836835046936</v>
      </c>
      <c r="AT145" s="647"/>
      <c r="AU145" s="647"/>
      <c r="AV145" s="624">
        <f t="shared" si="241"/>
        <v>85</v>
      </c>
      <c r="AW145" s="624">
        <f t="shared" si="242"/>
        <v>42.5</v>
      </c>
      <c r="AX145" s="624" t="b">
        <f t="shared" si="243"/>
        <v>0</v>
      </c>
      <c r="AY145" s="624">
        <f t="shared" si="244"/>
        <v>0</v>
      </c>
      <c r="AZ145" s="624" t="b">
        <f t="shared" si="245"/>
        <v>0</v>
      </c>
      <c r="BA145" s="624">
        <f t="shared" si="246"/>
        <v>0</v>
      </c>
      <c r="BB145" s="624" t="b">
        <f t="shared" si="247"/>
        <v>0</v>
      </c>
      <c r="BC145" s="624">
        <f t="shared" si="248"/>
        <v>0</v>
      </c>
      <c r="BD145" s="624" t="b">
        <f t="shared" si="249"/>
        <v>0</v>
      </c>
      <c r="BE145" s="624">
        <f t="shared" si="250"/>
        <v>0</v>
      </c>
      <c r="BF145" s="624">
        <f t="shared" si="251"/>
        <v>67.83</v>
      </c>
      <c r="BG145" s="624" t="b">
        <f t="shared" si="252"/>
        <v>0</v>
      </c>
      <c r="BH145" s="624" t="b">
        <f t="shared" si="253"/>
        <v>0</v>
      </c>
      <c r="BI145" s="624" t="b">
        <f t="shared" si="254"/>
        <v>0</v>
      </c>
      <c r="BJ145" s="624" t="b">
        <f t="shared" si="255"/>
        <v>0</v>
      </c>
      <c r="BK145" s="624" t="b">
        <f t="shared" si="256"/>
        <v>0</v>
      </c>
      <c r="BL145" s="624" t="b">
        <f t="shared" si="257"/>
        <v>0</v>
      </c>
      <c r="BM145" s="624" t="b">
        <f t="shared" si="258"/>
        <v>0</v>
      </c>
      <c r="BN145" s="624" t="b">
        <f t="shared" si="259"/>
        <v>0</v>
      </c>
      <c r="BO145" s="624" t="b">
        <f t="shared" si="260"/>
        <v>0</v>
      </c>
      <c r="BP145" s="624" t="b">
        <f t="shared" si="261"/>
        <v>0</v>
      </c>
      <c r="BQ145" s="624" t="b">
        <f t="shared" si="262"/>
        <v>0</v>
      </c>
    </row>
    <row r="146" spans="1:69" ht="8.25" customHeight="1">
      <c r="A146" s="1087"/>
      <c r="B146" s="872"/>
      <c r="C146" s="872"/>
      <c r="D146" s="645"/>
      <c r="E146" s="645"/>
      <c r="F146" s="644"/>
      <c r="G146" s="644"/>
      <c r="H146" s="644"/>
      <c r="I146" s="635"/>
      <c r="J146" s="644">
        <f>IF(F146&lt;=1966,'Założenia,wskaźniki, listy'!$H$4,IF(F146&gt;1966,IF(F146&lt;=1985,'Założenia,wskaźniki, listy'!$H$5,IF(F146&gt;1985,IF(F146&lt;=1992,'Założenia,wskaźniki, listy'!$H$6,IF(F146&gt;1992,IF(F146&lt;=1996,'Założenia,wskaźniki, listy'!$H$7,IF(F146&gt;1996,IF(F146&lt;=2015,'Założenia,wskaźniki, listy'!$H$8)))))))))</f>
        <v>290</v>
      </c>
      <c r="K146" s="864"/>
      <c r="L146" s="644"/>
      <c r="M146" s="644"/>
      <c r="N146" s="644"/>
      <c r="O146" s="637">
        <f t="shared" si="240"/>
        <v>0</v>
      </c>
      <c r="P146" s="646">
        <f>IF(K146="kompletna",J146*G146*0.0036*'Założenia,wskaźniki, listy'!$P$9,IF(K146="częściowa",J146*G146*0.0036*'Założenia,wskaźniki, listy'!$P$10,IF(K146="brak",J146*G146*0.0036*'Założenia,wskaźniki, listy'!$P$11,0)))</f>
        <v>0</v>
      </c>
      <c r="Q146" s="638">
        <f>H146*'Założenia,wskaźniki, listy'!$L$15</f>
        <v>0</v>
      </c>
      <c r="R146" s="635">
        <f>IF(L146="węgiel",'Mieszkalne - baza'!M146*'Założenia,wskaźniki, listy'!$B$4,IF(L146="gaz",'Mieszkalne - baza'!M146*'Założenia,wskaźniki, listy'!$B$5,IF(L146="drewno",'Mieszkalne - baza'!M146*'Założenia,wskaźniki, listy'!$B$6,IF(L146="pelet",'Mieszkalne - baza'!M146*'Założenia,wskaźniki, listy'!$B$7,IF(L146="olej opałowy",'Mieszkalne - baza'!M146*'Założenia,wskaźniki, listy'!$B$8,IF(L146="sieć ciepłownicza",0,0))))))</f>
        <v>0</v>
      </c>
      <c r="S146" s="1085"/>
      <c r="T146" s="639">
        <f>IF(L146="węgiel",R146*'Założenia,wskaźniki, listy'!$C$44,IF(L146="gaz",R146*'Założenia,wskaźniki, listy'!$D$44,IF(L146="drewno",R146*'Założenia,wskaźniki, listy'!$E$44,IF(L146="pelet",R146*'Założenia,wskaźniki, listy'!$F$44,IF(L146="olej opałowy",R146*'Założenia,wskaźniki, listy'!$G$44,IF(L146="sieć ciepłownicza",0,IF(L146="prąd",0,0)))))))</f>
        <v>0</v>
      </c>
      <c r="U146" s="639">
        <f>IF(L146="węgiel",R146*'Założenia,wskaźniki, listy'!$C$45,IF(L146="gaz",R146*'Założenia,wskaźniki, listy'!$D$45,IF(L146="drewno",R146*'Założenia,wskaźniki, listy'!$E$45,IF(L146="pelet",R146*'Założenia,wskaźniki, listy'!$F$45,IF(L146="olej opałowy",R146*'Założenia,wskaźniki, listy'!$G$45,IF(L146="sieć ciepłownicza",0,IF(L146="prąd",0,0)))))))</f>
        <v>0</v>
      </c>
      <c r="V146" s="639">
        <f>IF(L146="węgiel",R146*'Założenia,wskaźniki, listy'!$C$46,IF(L146="gaz",R146*'Założenia,wskaźniki, listy'!$D$46,IF(L146="drewno",R146*'Założenia,wskaźniki, listy'!$E$46,IF(L146="pelet",R146*'Założenia,wskaźniki, listy'!$F$46,IF(L146="olej opałowy",R146*'Założenia,wskaźniki, listy'!$G$46,IF(L146="sieć ciepłownicza",R146*'Założenia,wskaźniki, listy'!$H$46,IF(L146="prąd",R146*'Założenia,wskaźniki, listy'!$I$46,0)))))))</f>
        <v>0</v>
      </c>
      <c r="W146" s="639">
        <f>IF(L146="węgiel",R146*'Założenia,wskaźniki, listy'!$C$47,IF(L146="gaz",R146*'Założenia,wskaźniki, listy'!$D$47,IF(L146="drewno",R146*'Założenia,wskaźniki, listy'!$E$47,IF(L146="pelet",R146*'Założenia,wskaźniki, listy'!$F$47,IF(L146="olej opałowy",R146*'Założenia,wskaźniki, listy'!$G$47,IF(L146="sieć ciepłownicza",0,IF(L146="prąd",0,0)))))))</f>
        <v>0</v>
      </c>
      <c r="X146" s="639">
        <f>IF(L146="węgiel",R146*'Założenia,wskaźniki, listy'!$C$48, IF(L146="gaz",R146*'Założenia,wskaźniki, listy'!$D$48,IF(L146="drewno",R146*'Założenia,wskaźniki, listy'!$E$48,IF(L146="pelet",R146*'Założenia,wskaźniki, listy'!$F$48,IF(L146="olej opałowy",R146*'Założenia,wskaźniki, listy'!$G$48,IF(L146="sieć ciepłownicza",0,IF(L146="prąd",0,0)))))))</f>
        <v>0</v>
      </c>
      <c r="Y146" s="639">
        <f>IF(L146="węgiel",R146*'Założenia,wskaźniki, listy'!$C$49, IF(L146="gaz",R146*'Założenia,wskaźniki, listy'!$D$49, IF(L146="drewno",R146*'Założenia,wskaźniki, listy'!$E$49,IF(L146="pelet",R146*'Założenia,wskaźniki, listy'!$F$49,IF(L146="olej opałowy",R146*'Założenia,wskaźniki, listy'!$G$49,IF(L146="sieć ciepłownicza",0,IF(L146="prąd",0,0)))))))</f>
        <v>0</v>
      </c>
      <c r="Z146" s="639">
        <f>IF(L146="węgiel",R146*'Założenia,wskaźniki, listy'!$C$50,IF(L146="gaz",R146*'Założenia,wskaźniki, listy'!$D$50, IF(L146="drewno",R146*'Założenia,wskaźniki, listy'!$E$50,IF(L146="pelet",R146*'Założenia,wskaźniki, listy'!$F$50,IF(L146="pelet",R146*'Założenia,wskaźniki, listy'!$F$50,IF(L146="olej opałowy",R146*'Założenia,wskaźniki, listy'!$G$50,IF(L146="sieć ciepłownicza",0,IF(L146="prąd",0,0))))))))</f>
        <v>0</v>
      </c>
      <c r="AA146" s="639">
        <f>IF(N146="węgiel",Q146*'Założenia,wskaźniki, listy'!$C$44,IF(N146="gaz",Q146*'Założenia,wskaźniki, listy'!$D$44,IF(N146="drewno",Q146*'Założenia,wskaźniki, listy'!$E$44,IF(N146="pelet",Q146*'Założenia,wskaźniki, listy'!$G$44,IF(N146="olej opałowy",Q146*'Założenia,wskaźniki, listy'!$G$44,IF(N146="sieć ciepłownicza",0,IF(N146="prąd",0,0)))))))</f>
        <v>0</v>
      </c>
      <c r="AB146" s="639">
        <f>IF(N146="węgiel",Q146*'Założenia,wskaźniki, listy'!$C$45,IF(N146="gaz",Q146*'Założenia,wskaźniki, listy'!$D$45,IF(N146="drewno",Q146*'Założenia,wskaźniki, listy'!$E$45,IF(N146="pelet",Q146*'Założenia,wskaźniki, listy'!$G$45,IF(N146="olej opałowy",Q146*'Założenia,wskaźniki, listy'!$G$45,IF(N146="sieć ciepłownicza",0,IF(N146="prąd",0,0)))))))</f>
        <v>0</v>
      </c>
      <c r="AC146" s="639">
        <f>IF(N146="węgiel",Q146*'Założenia,wskaźniki, listy'!$C$46,IF(N146="gaz",Q146*'Założenia,wskaźniki, listy'!$D$46,IF(N146="drewno",Q146*'Założenia,wskaźniki, listy'!$E$46,IF(N146="pelet",Q146*'Założenia,wskaźniki, listy'!$G$46,IF(N146="olej opałowy",Q146*'Założenia,wskaźniki, listy'!$G$46,IF(N146="sieć ciepłownicza",0,IF(N146="prąd",0,0)))))))</f>
        <v>0</v>
      </c>
      <c r="AD146" s="639">
        <f>IF(N146="węgiel",Q146*'Założenia,wskaźniki, listy'!$C$47,IF(N146="gaz",Q146*'Założenia,wskaźniki, listy'!$D$47,IF(N146="drewno",Q146*'Założenia,wskaźniki, listy'!$E$47,IF(N146="pelet",Q146*'Założenia,wskaźniki, listy'!$G$47,IF(N146="olej opałowy",Q146*'Założenia,wskaźniki, listy'!$G$47,IF(N146="sieć ciepłownicza",0,IF(N146="prąd",0,0)))))))</f>
        <v>0</v>
      </c>
      <c r="AE146" s="639">
        <f>IF(N146="węgiel",Q146*'Założenia,wskaźniki, listy'!$C$48,IF(N146="gaz",Q146*'Założenia,wskaźniki, listy'!$D$48,IF(N146="drewno",Q146*'Założenia,wskaźniki, listy'!$E$48,IF(N146="pelet",Q146*'Założenia,wskaźniki, listy'!$G$48,IF(N146="olej opałowy",Q146*'Założenia,wskaźniki, listy'!$G$48,IF(N146="sieć ciepłownicza",0,IF(N146="prąd",0,0)))))))</f>
        <v>0</v>
      </c>
      <c r="AF146" s="639">
        <f>IF(N146="węgiel",Q146*'Założenia,wskaźniki, listy'!$C$49,IF(N146="gaz",Q146*'Założenia,wskaźniki, listy'!$D$49,IF(N146="drewno",Q146*'Założenia,wskaźniki, listy'!$E$49,IF(N146="pelet",Q146*'Założenia,wskaźniki, listy'!$G$49,IF(N146="olej opałowy",Q146*'Założenia,wskaźniki, listy'!$G$49,IF(N146="sieć ciepłownicza",0,IF(N146="prąd",0,0)))))))</f>
        <v>0</v>
      </c>
      <c r="AG146" s="639">
        <f>IF(N146="węgiel",Q146*'Założenia,wskaźniki, listy'!$C$50,IF(N146="gaz",Q146*'Założenia,wskaźniki, listy'!$D$50,IF(N146="drewno",Q146*'Założenia,wskaźniki, listy'!$E$50,IF(N146="pelet",Q146*'Założenia,wskaźniki, listy'!$G$50,IF(N146="olej opałowy",Q146*'Założenia,wskaźniki, listy'!$G$50,IF(N146="sieć ciepłownicza",0,IF(N146="prąd",0,0)))))))</f>
        <v>0</v>
      </c>
      <c r="AH146" s="640">
        <f>IF(L146="węgiel",(P146+R146)/2*'Założenia,wskaźniki, listy'!$C$4,IF(L146="gaz",(P146+R146)/2*'Założenia,wskaźniki, listy'!$C$5,IF(L146="drewno",(P146+R146)/2*'Założenia,wskaźniki, listy'!$C$6,IF(L146="pelet",(P146+R146)/2*'Założenia,wskaźniki, listy'!$C$7,IF(L146="olej opałowy",(P146+R146)/2*'Założenia,wskaźniki, listy'!$C$8,IF(L146="sieć ciepłownicza",(P146+R146)/2*'Założenia,wskaźniki, listy'!$C$9,IF(L146="sieć ciepłownicza",(P146+R146)/2*'Założenia,wskaźniki, listy'!$C$10,)))))))</f>
        <v>0</v>
      </c>
      <c r="AI146" s="640">
        <f>IF(N146="węgiel",Q146*'Założenia,wskaźniki, listy'!$C$4,IF(N146="gaz",Q146*'Założenia,wskaźniki, listy'!$C$5,IF(N146="drewno",Q146*'Założenia,wskaźniki, listy'!$C$6,IF(N146="pelet",Q146*'Założenia,wskaźniki, listy'!$C$7,IF(N146="olej opałowy",Q146*'Założenia,wskaźniki, listy'!$C$8,IF(N146="sieć ciepłownicza",Q146*'Założenia,wskaźniki, listy'!$C$9,IF(N146="sieć ciepłownicza",Q146*'Założenia,wskaźniki, listy'!$C$10,0)))))))</f>
        <v>0</v>
      </c>
      <c r="AJ146" s="640">
        <f>S146*'Założenia,wskaźniki, listy'!$B$64*1000</f>
        <v>0</v>
      </c>
      <c r="AK146" s="640">
        <f>(H146+I146)*'Założenia,wskaźniki, listy'!$D$64*12</f>
        <v>0</v>
      </c>
      <c r="AL146" s="640">
        <f>AK146*'Założenia,wskaźniki, listy'!$F$64</f>
        <v>0</v>
      </c>
      <c r="AM146" s="639">
        <f t="shared" si="206"/>
        <v>0</v>
      </c>
      <c r="AN146" s="639">
        <f t="shared" si="207"/>
        <v>0</v>
      </c>
      <c r="AO146" s="639">
        <f>V146+AC146+S146*'Założenia,wskaźniki, listy'!$J$46</f>
        <v>0</v>
      </c>
      <c r="AP146" s="639">
        <f t="shared" si="208"/>
        <v>0</v>
      </c>
      <c r="AQ146" s="639">
        <f t="shared" si="209"/>
        <v>0</v>
      </c>
      <c r="AR146" s="639">
        <f t="shared" si="210"/>
        <v>0</v>
      </c>
      <c r="AS146" s="639">
        <f t="shared" si="211"/>
        <v>0</v>
      </c>
      <c r="AT146" s="647"/>
      <c r="AU146" s="647"/>
      <c r="AV146" s="624">
        <f t="shared" si="241"/>
        <v>0</v>
      </c>
      <c r="AW146" s="624" t="b">
        <f t="shared" si="242"/>
        <v>0</v>
      </c>
      <c r="AX146" s="624" t="b">
        <f t="shared" si="243"/>
        <v>0</v>
      </c>
      <c r="AY146" s="624" t="b">
        <f t="shared" si="244"/>
        <v>0</v>
      </c>
      <c r="AZ146" s="624" t="b">
        <f t="shared" si="245"/>
        <v>0</v>
      </c>
      <c r="BA146" s="624" t="b">
        <f t="shared" si="246"/>
        <v>0</v>
      </c>
      <c r="BB146" s="624" t="b">
        <f t="shared" si="247"/>
        <v>0</v>
      </c>
      <c r="BC146" s="624" t="b">
        <f t="shared" si="248"/>
        <v>0</v>
      </c>
      <c r="BD146" s="624" t="b">
        <f t="shared" si="249"/>
        <v>0</v>
      </c>
      <c r="BE146" s="624" t="b">
        <f t="shared" si="250"/>
        <v>0</v>
      </c>
      <c r="BF146" s="624" t="b">
        <f t="shared" si="251"/>
        <v>0</v>
      </c>
      <c r="BG146" s="624" t="b">
        <f t="shared" si="252"/>
        <v>0</v>
      </c>
      <c r="BH146" s="624" t="b">
        <f t="shared" si="253"/>
        <v>0</v>
      </c>
      <c r="BI146" s="624" t="b">
        <f t="shared" si="254"/>
        <v>0</v>
      </c>
      <c r="BJ146" s="624" t="b">
        <f t="shared" si="255"/>
        <v>0</v>
      </c>
      <c r="BK146" s="624" t="b">
        <f t="shared" si="256"/>
        <v>0</v>
      </c>
      <c r="BL146" s="624" t="b">
        <f t="shared" si="257"/>
        <v>0</v>
      </c>
      <c r="BM146" s="624" t="b">
        <f t="shared" si="258"/>
        <v>0</v>
      </c>
      <c r="BN146" s="624" t="b">
        <f t="shared" si="259"/>
        <v>0</v>
      </c>
      <c r="BO146" s="624" t="b">
        <f t="shared" si="260"/>
        <v>0</v>
      </c>
      <c r="BP146" s="624" t="b">
        <f t="shared" si="261"/>
        <v>0</v>
      </c>
      <c r="BQ146" s="624" t="b">
        <f t="shared" si="262"/>
        <v>0</v>
      </c>
    </row>
    <row r="147" spans="1:69">
      <c r="A147" s="1086">
        <v>72</v>
      </c>
      <c r="B147" s="872" t="s">
        <v>21</v>
      </c>
      <c r="C147" s="873" t="s">
        <v>634</v>
      </c>
      <c r="D147" s="645"/>
      <c r="E147" s="645">
        <v>21</v>
      </c>
      <c r="F147" s="644">
        <v>1992</v>
      </c>
      <c r="G147" s="644">
        <v>160</v>
      </c>
      <c r="H147" s="644"/>
      <c r="I147" s="635"/>
      <c r="J147" s="644">
        <f>IF(F147&lt;=1966,'Założenia,wskaźniki, listy'!$H$4,IF(F147&gt;1966,IF(F147&lt;=1985,'Założenia,wskaźniki, listy'!$H$5,IF(F147&gt;1985,IF(F147&lt;=1992,'Założenia,wskaźniki, listy'!$H$6,IF(F147&gt;1992,IF(F147&lt;=1996,'Założenia,wskaźniki, listy'!$H$7,IF(F147&gt;1996,IF(F147&lt;=2015,'Założenia,wskaźniki, listy'!$H$8)))))))))</f>
        <v>175</v>
      </c>
      <c r="K147" s="864" t="s">
        <v>33</v>
      </c>
      <c r="L147" s="644" t="s">
        <v>8</v>
      </c>
      <c r="M147" s="644">
        <v>3</v>
      </c>
      <c r="N147" s="644"/>
      <c r="O147" s="637">
        <f t="shared" si="240"/>
        <v>74.234999999999999</v>
      </c>
      <c r="P147" s="646">
        <f>IF(K147="kompletna",J147*G147*0.0036*'Założenia,wskaźniki, listy'!$P$9,IF(K147="częściowa",J147*G147*0.0036*'Założenia,wskaźniki, listy'!$P$10,IF(K147="brak",J147*G147*0.0036*'Założenia,wskaźniki, listy'!$P$11,0)))</f>
        <v>80.64</v>
      </c>
      <c r="Q147" s="638">
        <f>H147*'Założenia,wskaźniki, listy'!$L$15</f>
        <v>0</v>
      </c>
      <c r="R147" s="635">
        <f>IF(L147="węgiel",'Mieszkalne - baza'!M147*'Założenia,wskaźniki, listy'!$B$4,IF(L147="gaz",'Mieszkalne - baza'!M147*'Założenia,wskaźniki, listy'!$B$5,IF(L147="drewno",'Mieszkalne - baza'!M147*'Założenia,wskaźniki, listy'!$B$6,IF(L147="pelet",'Mieszkalne - baza'!M147*'Założenia,wskaźniki, listy'!$B$7,IF(L147="olej opałowy",'Mieszkalne - baza'!M147*'Założenia,wskaźniki, listy'!$B$8,IF(L147="sieć ciepłownicza",0,0))))))</f>
        <v>67.83</v>
      </c>
      <c r="S147" s="1084">
        <v>2.2560000000000002</v>
      </c>
      <c r="T147" s="639">
        <f>IF(L147="węgiel",R147*'Założenia,wskaźniki, listy'!$C$44,IF(L147="gaz",R147*'Założenia,wskaźniki, listy'!$D$44,IF(L147="drewno",R147*'Założenia,wskaźniki, listy'!$E$44,IF(L147="pelet",R147*'Założenia,wskaźniki, listy'!$F$44,IF(L147="olej opałowy",R147*'Założenia,wskaźniki, listy'!$G$44,IF(L147="sieć ciepłownicza",0,IF(L147="prąd",0,0)))))))</f>
        <v>1.5261749999999999E-2</v>
      </c>
      <c r="U147" s="639">
        <f>IF(L147="węgiel",R147*'Założenia,wskaźniki, listy'!$C$45,IF(L147="gaz",R147*'Założenia,wskaźniki, listy'!$D$45,IF(L147="drewno",R147*'Założenia,wskaźniki, listy'!$E$45,IF(L147="pelet",R147*'Założenia,wskaźniki, listy'!$F$45,IF(L147="olej opałowy",R147*'Założenia,wskaźniki, listy'!$G$45,IF(L147="sieć ciepłownicza",0,IF(L147="prąd",0,0)))))))</f>
        <v>1.363383E-2</v>
      </c>
      <c r="V147" s="639">
        <f>IF(L147="węgiel",R147*'Założenia,wskaźniki, listy'!$C$46,IF(L147="gaz",R147*'Założenia,wskaźniki, listy'!$D$46,IF(L147="drewno",R147*'Założenia,wskaźniki, listy'!$E$46,IF(L147="pelet",R147*'Założenia,wskaźniki, listy'!$F$46,IF(L147="olej opałowy",R147*'Założenia,wskaźniki, listy'!$G$46,IF(L147="sieć ciepłownicza",R147*'Założenia,wskaźniki, listy'!$H$46,IF(L147="prąd",R147*'Założenia,wskaźniki, listy'!$I$46,0)))))))</f>
        <v>6.3583841999999988</v>
      </c>
      <c r="W147" s="639">
        <f>IF(L147="węgiel",R147*'Założenia,wskaźniki, listy'!$C$47,IF(L147="gaz",R147*'Założenia,wskaźniki, listy'!$D$47,IF(L147="drewno",R147*'Założenia,wskaźniki, listy'!$E$47,IF(L147="pelet",R147*'Założenia,wskaźniki, listy'!$F$47,IF(L147="olej opałowy",R147*'Założenia,wskaźniki, listy'!$G$47,IF(L147="sieć ciepłownicza",0,IF(L147="prąd",0,0)))))))</f>
        <v>1.8314100000000001E-5</v>
      </c>
      <c r="X147" s="639">
        <f>IF(L147="węgiel",R147*'Założenia,wskaźniki, listy'!$C$48, IF(L147="gaz",R147*'Założenia,wskaźniki, listy'!$D$48,IF(L147="drewno",R147*'Założenia,wskaźniki, listy'!$E$48,IF(L147="pelet",R147*'Założenia,wskaźniki, listy'!$F$48,IF(L147="olej opałowy",R147*'Założenia,wskaźniki, listy'!$G$48,IF(L147="sieć ciepłownicza",0,IF(L147="prąd",0,0)))))))</f>
        <v>6.1046999999999997E-2</v>
      </c>
      <c r="Y147" s="639">
        <f>IF(L147="węgiel",R147*'Założenia,wskaźniki, listy'!$C$49, IF(L147="gaz",R147*'Założenia,wskaźniki, listy'!$D$49, IF(L147="drewno",R147*'Założenia,wskaźniki, listy'!$E$49,IF(L147="pelet",R147*'Założenia,wskaźniki, listy'!$F$49,IF(L147="olej opałowy",R147*'Założenia,wskaźniki, listy'!$G$49,IF(L147="sieć ciepłownicza",0,IF(L147="prąd",0,0)))))))</f>
        <v>1.071714E-2</v>
      </c>
      <c r="Z147" s="639">
        <f>IF(L147="węgiel",R147*'Założenia,wskaźniki, listy'!$C$50,IF(L147="gaz",R147*'Założenia,wskaźniki, listy'!$D$50, IF(L147="drewno",R147*'Założenia,wskaźniki, listy'!$E$50,IF(L147="pelet",R147*'Założenia,wskaźniki, listy'!$F$50,IF(L147="pelet",R147*'Założenia,wskaźniki, listy'!$F$50,IF(L147="olej opałowy",R147*'Założenia,wskaźniki, listy'!$G$50,IF(L147="sieć ciepłownicza",0,IF(L147="prąd",0,0))))))))</f>
        <v>0.13644836835046936</v>
      </c>
      <c r="AA147" s="639">
        <f>IF(N147="węgiel",Q147*'Założenia,wskaźniki, listy'!$C$44,IF(N147="gaz",Q147*'Założenia,wskaźniki, listy'!$D$44,IF(N147="drewno",Q147*'Założenia,wskaźniki, listy'!$E$44,IF(N147="pelet",Q147*'Założenia,wskaźniki, listy'!$G$44,IF(N147="olej opałowy",Q147*'Założenia,wskaźniki, listy'!$G$44,IF(N147="sieć ciepłownicza",0,IF(N147="prąd",0,0)))))))</f>
        <v>0</v>
      </c>
      <c r="AB147" s="639">
        <f>IF(N147="węgiel",Q147*'Założenia,wskaźniki, listy'!$C$45,IF(N147="gaz",Q147*'Założenia,wskaźniki, listy'!$D$45,IF(N147="drewno",Q147*'Założenia,wskaźniki, listy'!$E$45,IF(N147="pelet",Q147*'Założenia,wskaźniki, listy'!$G$45,IF(N147="olej opałowy",Q147*'Założenia,wskaźniki, listy'!$G$45,IF(N147="sieć ciepłownicza",0,IF(N147="prąd",0,0)))))))</f>
        <v>0</v>
      </c>
      <c r="AC147" s="639">
        <f>IF(N147="węgiel",Q147*'Założenia,wskaźniki, listy'!$C$46,IF(N147="gaz",Q147*'Założenia,wskaźniki, listy'!$D$46,IF(N147="drewno",Q147*'Założenia,wskaźniki, listy'!$E$46,IF(N147="pelet",Q147*'Założenia,wskaźniki, listy'!$G$46,IF(N147="olej opałowy",Q147*'Założenia,wskaźniki, listy'!$G$46,IF(N147="sieć ciepłownicza",0,IF(N147="prąd",0,0)))))))</f>
        <v>0</v>
      </c>
      <c r="AD147" s="639">
        <f>IF(N147="węgiel",Q147*'Założenia,wskaźniki, listy'!$C$47,IF(N147="gaz",Q147*'Założenia,wskaźniki, listy'!$D$47,IF(N147="drewno",Q147*'Założenia,wskaźniki, listy'!$E$47,IF(N147="pelet",Q147*'Założenia,wskaźniki, listy'!$G$47,IF(N147="olej opałowy",Q147*'Założenia,wskaźniki, listy'!$G$47,IF(N147="sieć ciepłownicza",0,IF(N147="prąd",0,0)))))))</f>
        <v>0</v>
      </c>
      <c r="AE147" s="639">
        <f>IF(N147="węgiel",Q147*'Założenia,wskaźniki, listy'!$C$48,IF(N147="gaz",Q147*'Założenia,wskaźniki, listy'!$D$48,IF(N147="drewno",Q147*'Założenia,wskaźniki, listy'!$E$48,IF(N147="pelet",Q147*'Założenia,wskaźniki, listy'!$G$48,IF(N147="olej opałowy",Q147*'Założenia,wskaźniki, listy'!$G$48,IF(N147="sieć ciepłownicza",0,IF(N147="prąd",0,0)))))))</f>
        <v>0</v>
      </c>
      <c r="AF147" s="639">
        <f>IF(N147="węgiel",Q147*'Założenia,wskaźniki, listy'!$C$49,IF(N147="gaz",Q147*'Założenia,wskaźniki, listy'!$D$49,IF(N147="drewno",Q147*'Założenia,wskaźniki, listy'!$E$49,IF(N147="pelet",Q147*'Założenia,wskaźniki, listy'!$G$49,IF(N147="olej opałowy",Q147*'Założenia,wskaźniki, listy'!$G$49,IF(N147="sieć ciepłownicza",0,IF(N147="prąd",0,0)))))))</f>
        <v>0</v>
      </c>
      <c r="AG147" s="639">
        <f>IF(N147="węgiel",Q147*'Założenia,wskaźniki, listy'!$C$50,IF(N147="gaz",Q147*'Założenia,wskaźniki, listy'!$D$50,IF(N147="drewno",Q147*'Założenia,wskaźniki, listy'!$E$50,IF(N147="pelet",Q147*'Założenia,wskaźniki, listy'!$G$50,IF(N147="olej opałowy",Q147*'Założenia,wskaźniki, listy'!$G$50,IF(N147="sieć ciepłownicza",0,IF(N147="prąd",0,0)))))))</f>
        <v>0</v>
      </c>
      <c r="AH147" s="640">
        <f>IF(L147="węgiel",(P147+R147)/2*'Założenia,wskaźniki, listy'!$C$4,IF(L147="gaz",(P147+R147)/2*'Założenia,wskaźniki, listy'!$C$5,IF(L147="drewno",(P147+R147)/2*'Założenia,wskaźniki, listy'!$C$6,IF(L147="pelet",(P147+R147)/2*'Założenia,wskaźniki, listy'!$C$7,IF(L147="olej opałowy",(P147+R147)/2*'Założenia,wskaźniki, listy'!$C$8,IF(L147="sieć ciepłownicza",(P147+R147)/2*'Założenia,wskaźniki, listy'!$C$9,IF(L147="sieć ciepłownicza",(P147+R147)/2*'Założenia,wskaźniki, listy'!$C$10,)))))))</f>
        <v>3043.6349999999998</v>
      </c>
      <c r="AI147" s="640">
        <f>IF(N147="węgiel",Q147*'Założenia,wskaźniki, listy'!$C$4,IF(N147="gaz",Q147*'Założenia,wskaźniki, listy'!$C$5,IF(N147="drewno",Q147*'Założenia,wskaźniki, listy'!$C$6,IF(N147="pelet",Q147*'Założenia,wskaźniki, listy'!$C$7,IF(N147="olej opałowy",Q147*'Założenia,wskaźniki, listy'!$C$8,IF(N147="sieć ciepłownicza",Q147*'Założenia,wskaźniki, listy'!$C$9,IF(N147="sieć ciepłownicza",Q147*'Założenia,wskaźniki, listy'!$C$10,0)))))))</f>
        <v>0</v>
      </c>
      <c r="AJ147" s="640">
        <f>S147*'Założenia,wskaźniki, listy'!$B$64*1000</f>
        <v>1601.76</v>
      </c>
      <c r="AK147" s="640">
        <f>(H147+I147)*'Założenia,wskaźniki, listy'!$D$64*12</f>
        <v>0</v>
      </c>
      <c r="AL147" s="640">
        <f>AK147*'Założenia,wskaźniki, listy'!$F$64</f>
        <v>0</v>
      </c>
      <c r="AM147" s="639">
        <f t="shared" si="206"/>
        <v>1.5261749999999999E-2</v>
      </c>
      <c r="AN147" s="639">
        <f t="shared" si="207"/>
        <v>1.363383E-2</v>
      </c>
      <c r="AO147" s="639">
        <f>V147+AC147+S147*'Założenia,wskaźniki, listy'!$J$46</f>
        <v>8.2342481999999997</v>
      </c>
      <c r="AP147" s="639">
        <f t="shared" si="208"/>
        <v>1.8314100000000001E-5</v>
      </c>
      <c r="AQ147" s="639">
        <f t="shared" si="209"/>
        <v>6.1046999999999997E-2</v>
      </c>
      <c r="AR147" s="639">
        <f t="shared" si="210"/>
        <v>1.071714E-2</v>
      </c>
      <c r="AS147" s="639">
        <f t="shared" si="211"/>
        <v>0.13644836835046936</v>
      </c>
      <c r="AT147" s="647"/>
      <c r="AU147" s="647"/>
      <c r="AV147" s="624" t="b">
        <f t="shared" si="241"/>
        <v>0</v>
      </c>
      <c r="AW147" s="624">
        <f t="shared" si="242"/>
        <v>0</v>
      </c>
      <c r="AX147" s="624" t="b">
        <f t="shared" si="243"/>
        <v>0</v>
      </c>
      <c r="AY147" s="624">
        <f t="shared" si="244"/>
        <v>0</v>
      </c>
      <c r="AZ147" s="624">
        <f t="shared" si="245"/>
        <v>160</v>
      </c>
      <c r="BA147" s="624">
        <f t="shared" si="246"/>
        <v>80</v>
      </c>
      <c r="BB147" s="624" t="b">
        <f t="shared" si="247"/>
        <v>0</v>
      </c>
      <c r="BC147" s="624">
        <f t="shared" si="248"/>
        <v>0</v>
      </c>
      <c r="BD147" s="624" t="b">
        <f t="shared" si="249"/>
        <v>0</v>
      </c>
      <c r="BE147" s="624">
        <f t="shared" si="250"/>
        <v>0</v>
      </c>
      <c r="BF147" s="624">
        <f t="shared" si="251"/>
        <v>67.83</v>
      </c>
      <c r="BG147" s="624" t="b">
        <f t="shared" si="252"/>
        <v>0</v>
      </c>
      <c r="BH147" s="624" t="b">
        <f t="shared" si="253"/>
        <v>0</v>
      </c>
      <c r="BI147" s="624" t="b">
        <f t="shared" si="254"/>
        <v>0</v>
      </c>
      <c r="BJ147" s="624" t="b">
        <f t="shared" si="255"/>
        <v>0</v>
      </c>
      <c r="BK147" s="624" t="b">
        <f t="shared" si="256"/>
        <v>0</v>
      </c>
      <c r="BL147" s="624" t="b">
        <f t="shared" si="257"/>
        <v>0</v>
      </c>
      <c r="BM147" s="624" t="b">
        <f t="shared" si="258"/>
        <v>0</v>
      </c>
      <c r="BN147" s="624" t="b">
        <f t="shared" si="259"/>
        <v>0</v>
      </c>
      <c r="BO147" s="624" t="b">
        <f t="shared" si="260"/>
        <v>0</v>
      </c>
      <c r="BP147" s="624" t="b">
        <f t="shared" si="261"/>
        <v>0</v>
      </c>
      <c r="BQ147" s="624" t="b">
        <f t="shared" si="262"/>
        <v>0</v>
      </c>
    </row>
    <row r="148" spans="1:69" ht="8.25" customHeight="1">
      <c r="A148" s="1086"/>
      <c r="B148" s="872"/>
      <c r="C148" s="872"/>
      <c r="D148" s="645"/>
      <c r="E148" s="645"/>
      <c r="F148" s="644"/>
      <c r="G148" s="644"/>
      <c r="H148" s="644"/>
      <c r="I148" s="635"/>
      <c r="J148" s="644">
        <f>IF(F148&lt;=1966,'Założenia,wskaźniki, listy'!$H$4,IF(F148&gt;1966,IF(F148&lt;=1985,'Założenia,wskaźniki, listy'!$H$5,IF(F148&gt;1985,IF(F148&lt;=1992,'Założenia,wskaźniki, listy'!$H$6,IF(F148&gt;1992,IF(F148&lt;=1996,'Założenia,wskaźniki, listy'!$H$7,IF(F148&gt;1996,IF(F148&lt;=2015,'Założenia,wskaźniki, listy'!$H$8)))))))))</f>
        <v>290</v>
      </c>
      <c r="K148" s="864"/>
      <c r="L148" s="644" t="s">
        <v>79</v>
      </c>
      <c r="M148" s="644">
        <v>0.5</v>
      </c>
      <c r="N148" s="644"/>
      <c r="O148" s="637">
        <f t="shared" ref="O148" si="277">IF(P148&gt;0,(Q148+R148+P148)/2,Q148+R148)</f>
        <v>7.5</v>
      </c>
      <c r="P148" s="646">
        <f>IF(K148="kompletna",J148*G148*0.0036*'Założenia,wskaźniki, listy'!$P$9,IF(K148="częściowa",J148*G148*0.0036*'Założenia,wskaźniki, listy'!$P$10,IF(K148="brak",J148*G148*0.0036*'Założenia,wskaźniki, listy'!$P$11,0)))</f>
        <v>0</v>
      </c>
      <c r="Q148" s="638">
        <f>H148*'Założenia,wskaźniki, listy'!$L$15</f>
        <v>0</v>
      </c>
      <c r="R148" s="635">
        <f>IF(L148="węgiel",'Mieszkalne - baza'!M148*'Założenia,wskaźniki, listy'!$B$4,IF(L148="gaz",'Mieszkalne - baza'!M148*'Założenia,wskaźniki, listy'!$B$5,IF(L148="drewno",'Mieszkalne - baza'!M148*'Założenia,wskaźniki, listy'!$B$6,IF(L148="pelet",'Mieszkalne - baza'!M148*'Założenia,wskaźniki, listy'!$B$7,IF(L148="olej opałowy",'Mieszkalne - baza'!M148*'Założenia,wskaźniki, listy'!$B$8,IF(L148="sieć ciepłownicza",0,0))))))</f>
        <v>7.5</v>
      </c>
      <c r="S148" s="1085"/>
      <c r="T148" s="639">
        <f>IF(L148="węgiel",R148*'Założenia,wskaźniki, listy'!$C$44,IF(L148="gaz",R148*'Założenia,wskaźniki, listy'!$D$44,IF(L148="drewno",R148*'Założenia,wskaźniki, listy'!$E$44,IF(L148="pelet",R148*'Założenia,wskaźniki, listy'!$F$44,IF(L148="olej opałowy",R148*'Założenia,wskaźniki, listy'!$G$44,IF(L148="sieć ciepłownicza",0,IF(L148="prąd",0,0)))))))</f>
        <v>3.5999999999999999E-3</v>
      </c>
      <c r="U148" s="639">
        <f>IF(L148="węgiel",R148*'Założenia,wskaźniki, listy'!$C$45,IF(L148="gaz",R148*'Założenia,wskaźniki, listy'!$D$45,IF(L148="drewno",R148*'Założenia,wskaźniki, listy'!$E$45,IF(L148="pelet",R148*'Założenia,wskaźniki, listy'!$F$45,IF(L148="olej opałowy",R148*'Założenia,wskaźniki, listy'!$G$45,IF(L148="sieć ciepłownicza",0,IF(L148="prąd",0,0)))))))</f>
        <v>3.5249999999999999E-3</v>
      </c>
      <c r="V148" s="639">
        <f>IF(L148="węgiel",R148*'Założenia,wskaźniki, listy'!$C$46,IF(L148="gaz",R148*'Założenia,wskaźniki, listy'!$D$46,IF(L148="drewno",R148*'Założenia,wskaźniki, listy'!$E$46,IF(L148="pelet",R148*'Założenia,wskaźniki, listy'!$F$46,IF(L148="olej opałowy",R148*'Założenia,wskaźniki, listy'!$G$46,IF(L148="sieć ciepłownicza",R148*'Założenia,wskaźniki, listy'!$H$46,IF(L148="prąd",R148*'Założenia,wskaźniki, listy'!$I$46,0)))))))</f>
        <v>0</v>
      </c>
      <c r="W148" s="639">
        <f>IF(L148="węgiel",R148*'Założenia,wskaźniki, listy'!$C$47,IF(L148="gaz",R148*'Założenia,wskaźniki, listy'!$D$47,IF(L148="drewno",R148*'Założenia,wskaźniki, listy'!$E$47,IF(L148="pelet",R148*'Założenia,wskaźniki, listy'!$F$47,IF(L148="olej opałowy",R148*'Założenia,wskaźniki, listy'!$G$47,IF(L148="sieć ciepłownicza",0,IF(L148="prąd",0,0)))))))</f>
        <v>9.075000000000001E-7</v>
      </c>
      <c r="X148" s="639">
        <f>IF(L148="węgiel",R148*'Założenia,wskaźniki, listy'!$C$48, IF(L148="gaz",R148*'Założenia,wskaźniki, listy'!$D$48,IF(L148="drewno",R148*'Założenia,wskaźniki, listy'!$E$48,IF(L148="pelet",R148*'Założenia,wskaźniki, listy'!$F$48,IF(L148="olej opałowy",R148*'Założenia,wskaźniki, listy'!$G$48,IF(L148="sieć ciepłownicza",0,IF(L148="prąd",0,0)))))))</f>
        <v>8.25E-5</v>
      </c>
      <c r="Y148" s="639">
        <f>IF(L148="węgiel",R148*'Założenia,wskaźniki, listy'!$C$49, IF(L148="gaz",R148*'Założenia,wskaźniki, listy'!$D$49, IF(L148="drewno",R148*'Założenia,wskaźniki, listy'!$E$49,IF(L148="pelet",R148*'Założenia,wskaźniki, listy'!$F$49,IF(L148="olej opałowy",R148*'Założenia,wskaźniki, listy'!$G$49,IF(L148="sieć ciepłownicza",0,IF(L148="prąd",0,0)))))))</f>
        <v>6.0000000000000006E-4</v>
      </c>
      <c r="Z148" s="639">
        <f>IF(L148="węgiel",R148*'Założenia,wskaźniki, listy'!$C$50,IF(L148="gaz",R148*'Założenia,wskaźniki, listy'!$D$50, IF(L148="drewno",R148*'Założenia,wskaźniki, listy'!$E$50,IF(L148="pelet",R148*'Założenia,wskaźniki, listy'!$F$50,IF(L148="pelet",R148*'Założenia,wskaźniki, listy'!$F$50,IF(L148="olej opałowy",R148*'Założenia,wskaźniki, listy'!$G$50,IF(L148="sieć ciepłownicza",0,IF(L148="prąd",0,0))))))))</f>
        <v>1.3454999999999999E-3</v>
      </c>
      <c r="AA148" s="639">
        <f>IF(N148="węgiel",Q148*'Założenia,wskaźniki, listy'!$C$44,IF(N148="gaz",Q148*'Założenia,wskaźniki, listy'!$D$44,IF(N148="drewno",Q148*'Założenia,wskaźniki, listy'!$E$44,IF(N148="pelet",Q148*'Założenia,wskaźniki, listy'!$G$44,IF(N148="olej opałowy",Q148*'Założenia,wskaźniki, listy'!$G$44,IF(N148="sieć ciepłownicza",0,IF(N148="prąd",0,0)))))))</f>
        <v>0</v>
      </c>
      <c r="AB148" s="639">
        <f>IF(N148="węgiel",Q148*'Założenia,wskaźniki, listy'!$C$45,IF(N148="gaz",Q148*'Założenia,wskaźniki, listy'!$D$45,IF(N148="drewno",Q148*'Założenia,wskaźniki, listy'!$E$45,IF(N148="pelet",Q148*'Założenia,wskaźniki, listy'!$G$45,IF(N148="olej opałowy",Q148*'Założenia,wskaźniki, listy'!$G$45,IF(N148="sieć ciepłownicza",0,IF(N148="prąd",0,0)))))))</f>
        <v>0</v>
      </c>
      <c r="AC148" s="639">
        <f>IF(N148="węgiel",Q148*'Założenia,wskaźniki, listy'!$C$46,IF(N148="gaz",Q148*'Założenia,wskaźniki, listy'!$D$46,IF(N148="drewno",Q148*'Założenia,wskaźniki, listy'!$E$46,IF(N148="pelet",Q148*'Założenia,wskaźniki, listy'!$G$46,IF(N148="olej opałowy",Q148*'Założenia,wskaźniki, listy'!$G$46,IF(N148="sieć ciepłownicza",0,IF(N148="prąd",0,0)))))))</f>
        <v>0</v>
      </c>
      <c r="AD148" s="639">
        <f>IF(N148="węgiel",Q148*'Założenia,wskaźniki, listy'!$C$47,IF(N148="gaz",Q148*'Założenia,wskaźniki, listy'!$D$47,IF(N148="drewno",Q148*'Założenia,wskaźniki, listy'!$E$47,IF(N148="pelet",Q148*'Założenia,wskaźniki, listy'!$G$47,IF(N148="olej opałowy",Q148*'Założenia,wskaźniki, listy'!$G$47,IF(N148="sieć ciepłownicza",0,IF(N148="prąd",0,0)))))))</f>
        <v>0</v>
      </c>
      <c r="AE148" s="639">
        <f>IF(N148="węgiel",Q148*'Założenia,wskaźniki, listy'!$C$48,IF(N148="gaz",Q148*'Założenia,wskaźniki, listy'!$D$48,IF(N148="drewno",Q148*'Założenia,wskaźniki, listy'!$E$48,IF(N148="pelet",Q148*'Założenia,wskaźniki, listy'!$G$48,IF(N148="olej opałowy",Q148*'Założenia,wskaźniki, listy'!$G$48,IF(N148="sieć ciepłownicza",0,IF(N148="prąd",0,0)))))))</f>
        <v>0</v>
      </c>
      <c r="AF148" s="639">
        <f>IF(N148="węgiel",Q148*'Założenia,wskaźniki, listy'!$C$49,IF(N148="gaz",Q148*'Założenia,wskaźniki, listy'!$D$49,IF(N148="drewno",Q148*'Założenia,wskaźniki, listy'!$E$49,IF(N148="pelet",Q148*'Założenia,wskaźniki, listy'!$G$49,IF(N148="olej opałowy",Q148*'Założenia,wskaźniki, listy'!$G$49,IF(N148="sieć ciepłownicza",0,IF(N148="prąd",0,0)))))))</f>
        <v>0</v>
      </c>
      <c r="AG148" s="639">
        <f>IF(N148="węgiel",Q148*'Założenia,wskaźniki, listy'!$C$50,IF(N148="gaz",Q148*'Założenia,wskaźniki, listy'!$D$50,IF(N148="drewno",Q148*'Założenia,wskaźniki, listy'!$E$50,IF(N148="pelet",Q148*'Założenia,wskaźniki, listy'!$G$50,IF(N148="olej opałowy",Q148*'Założenia,wskaźniki, listy'!$G$50,IF(N148="sieć ciepłownicza",0,IF(N148="prąd",0,0)))))))</f>
        <v>0</v>
      </c>
      <c r="AH148" s="640">
        <f>IF(L148="węgiel",(P148+R148)/2*'Założenia,wskaźniki, listy'!$C$4,IF(L148="gaz",(P148+R148)/2*'Założenia,wskaźniki, listy'!$C$5,IF(L148="drewno",(P148+R148)/2*'Założenia,wskaźniki, listy'!$C$6,IF(L148="pelet",(P148+R148)/2*'Założenia,wskaźniki, listy'!$C$7,IF(L148="olej opałowy",(P148+R148)/2*'Założenia,wskaźniki, listy'!$C$8,IF(L148="sieć ciepłownicza",(P148+R148)/2*'Założenia,wskaźniki, listy'!$C$9,IF(L148="sieć ciepłownicza",(P148+R148)/2*'Założenia,wskaźniki, listy'!$C$10,)))))))</f>
        <v>142.5</v>
      </c>
      <c r="AI148" s="640">
        <f>IF(N148="węgiel",Q148*'Założenia,wskaźniki, listy'!$C$4,IF(N148="gaz",Q148*'Założenia,wskaźniki, listy'!$C$5,IF(N148="drewno",Q148*'Założenia,wskaźniki, listy'!$C$6,IF(N148="pelet",Q148*'Założenia,wskaźniki, listy'!$C$7,IF(N148="olej opałowy",Q148*'Założenia,wskaźniki, listy'!$C$8,IF(N148="sieć ciepłownicza",Q148*'Założenia,wskaźniki, listy'!$C$9,IF(N148="sieć ciepłownicza",Q148*'Założenia,wskaźniki, listy'!$C$10,0)))))))</f>
        <v>0</v>
      </c>
      <c r="AJ148" s="640">
        <f>S148*'Założenia,wskaźniki, listy'!$B$64*1000</f>
        <v>0</v>
      </c>
      <c r="AK148" s="640">
        <f>(H148+I148)*'Założenia,wskaźniki, listy'!$D$64*12</f>
        <v>0</v>
      </c>
      <c r="AL148" s="640">
        <f>AK148*'Założenia,wskaźniki, listy'!$F$64</f>
        <v>0</v>
      </c>
      <c r="AM148" s="639">
        <f t="shared" ref="AM148" si="278">T148+AA148</f>
        <v>3.5999999999999999E-3</v>
      </c>
      <c r="AN148" s="639">
        <f t="shared" ref="AN148" si="279">U148+AB148</f>
        <v>3.5249999999999999E-3</v>
      </c>
      <c r="AO148" s="639">
        <f>V148+AC148+S148*'Założenia,wskaźniki, listy'!$J$46</f>
        <v>0</v>
      </c>
      <c r="AP148" s="639">
        <f t="shared" ref="AP148" si="280">W148+AD148</f>
        <v>9.075000000000001E-7</v>
      </c>
      <c r="AQ148" s="639">
        <f t="shared" ref="AQ148" si="281">X148+AE148</f>
        <v>8.25E-5</v>
      </c>
      <c r="AR148" s="639">
        <f t="shared" ref="AR148" si="282">Y148+AF148</f>
        <v>6.0000000000000006E-4</v>
      </c>
      <c r="AS148" s="639">
        <f t="shared" ref="AS148" si="283">Z148+AG148</f>
        <v>1.3454999999999999E-3</v>
      </c>
      <c r="AT148" s="647"/>
      <c r="AU148" s="647"/>
      <c r="AV148" s="624">
        <f t="shared" si="241"/>
        <v>0</v>
      </c>
      <c r="AW148" s="624" t="b">
        <f t="shared" si="242"/>
        <v>0</v>
      </c>
      <c r="AX148" s="624" t="b">
        <f t="shared" si="243"/>
        <v>0</v>
      </c>
      <c r="AY148" s="624" t="b">
        <f t="shared" si="244"/>
        <v>0</v>
      </c>
      <c r="AZ148" s="624" t="b">
        <f t="shared" si="245"/>
        <v>0</v>
      </c>
      <c r="BA148" s="624" t="b">
        <f t="shared" si="246"/>
        <v>0</v>
      </c>
      <c r="BB148" s="624" t="b">
        <f t="shared" si="247"/>
        <v>0</v>
      </c>
      <c r="BC148" s="624" t="b">
        <f t="shared" si="248"/>
        <v>0</v>
      </c>
      <c r="BD148" s="624" t="b">
        <f t="shared" si="249"/>
        <v>0</v>
      </c>
      <c r="BE148" s="624" t="b">
        <f t="shared" si="250"/>
        <v>0</v>
      </c>
      <c r="BF148" s="624" t="b">
        <f t="shared" si="251"/>
        <v>0</v>
      </c>
      <c r="BG148" s="624" t="b">
        <f t="shared" si="252"/>
        <v>0</v>
      </c>
      <c r="BH148" s="624">
        <f t="shared" si="253"/>
        <v>7.5</v>
      </c>
      <c r="BI148" s="624" t="b">
        <f t="shared" si="254"/>
        <v>0</v>
      </c>
      <c r="BJ148" s="624" t="b">
        <f t="shared" si="255"/>
        <v>0</v>
      </c>
      <c r="BK148" s="624" t="b">
        <f t="shared" si="256"/>
        <v>0</v>
      </c>
      <c r="BL148" s="624" t="b">
        <f t="shared" si="257"/>
        <v>0</v>
      </c>
      <c r="BM148" s="624" t="b">
        <f t="shared" si="258"/>
        <v>0</v>
      </c>
      <c r="BN148" s="624" t="b">
        <f t="shared" si="259"/>
        <v>0</v>
      </c>
      <c r="BO148" s="624" t="b">
        <f t="shared" si="260"/>
        <v>0</v>
      </c>
      <c r="BP148" s="624" t="b">
        <f t="shared" si="261"/>
        <v>0</v>
      </c>
      <c r="BQ148" s="624" t="b">
        <f t="shared" si="262"/>
        <v>0</v>
      </c>
    </row>
    <row r="149" spans="1:69" ht="8.25" customHeight="1">
      <c r="A149" s="1086">
        <v>73</v>
      </c>
      <c r="B149" s="872" t="s">
        <v>21</v>
      </c>
      <c r="C149" s="873" t="s">
        <v>634</v>
      </c>
      <c r="D149" s="645"/>
      <c r="E149" s="645">
        <v>23</v>
      </c>
      <c r="F149" s="644">
        <v>1988</v>
      </c>
      <c r="G149" s="644">
        <v>130</v>
      </c>
      <c r="H149" s="644"/>
      <c r="I149" s="635"/>
      <c r="J149" s="644">
        <f>IF(F149&lt;=1966,'Założenia,wskaźniki, listy'!$H$4,IF(F149&gt;1966,IF(F149&lt;=1985,'Założenia,wskaźniki, listy'!$H$5,IF(F149&gt;1985,IF(F149&lt;=1992,'Założenia,wskaźniki, listy'!$H$6,IF(F149&gt;1992,IF(F149&lt;=1996,'Założenia,wskaźniki, listy'!$H$7,IF(F149&gt;1996,IF(F149&lt;=2015,'Założenia,wskaźniki, listy'!$H$8)))))))))</f>
        <v>175</v>
      </c>
      <c r="K149" s="864" t="s">
        <v>31</v>
      </c>
      <c r="L149" s="644" t="s">
        <v>8</v>
      </c>
      <c r="M149" s="644">
        <v>2.5</v>
      </c>
      <c r="N149" s="644"/>
      <c r="O149" s="637">
        <f t="shared" si="240"/>
        <v>69.212499999999991</v>
      </c>
      <c r="P149" s="646">
        <f>IF(K149="kompletna",J149*G149*0.0036*'Założenia,wskaźniki, listy'!$P$9,IF(K149="częściowa",J149*G149*0.0036*'Założenia,wskaźniki, listy'!$P$10,IF(K149="brak",J149*G149*0.0036*'Założenia,wskaźniki, listy'!$P$11,0)))</f>
        <v>81.899999999999991</v>
      </c>
      <c r="Q149" s="638">
        <f>H149*'Założenia,wskaźniki, listy'!$L$15</f>
        <v>0</v>
      </c>
      <c r="R149" s="635">
        <f>IF(L149="węgiel",'Mieszkalne - baza'!M149*'Założenia,wskaźniki, listy'!$B$4,IF(L149="gaz",'Mieszkalne - baza'!M149*'Założenia,wskaźniki, listy'!$B$5,IF(L149="drewno",'Mieszkalne - baza'!M149*'Założenia,wskaźniki, listy'!$B$6,IF(L149="pelet",'Mieszkalne - baza'!M149*'Założenia,wskaźniki, listy'!$B$7,IF(L149="olej opałowy",'Mieszkalne - baza'!M149*'Założenia,wskaźniki, listy'!$B$8,IF(L149="sieć ciepłownicza",0,0))))))</f>
        <v>56.524999999999999</v>
      </c>
      <c r="S149" s="1084">
        <v>1.8048000000000002</v>
      </c>
      <c r="T149" s="639">
        <f>IF(L149="węgiel",R149*'Założenia,wskaźniki, listy'!$C$44,IF(L149="gaz",R149*'Założenia,wskaźniki, listy'!$D$44,IF(L149="drewno",R149*'Założenia,wskaźniki, listy'!$E$44,IF(L149="pelet",R149*'Założenia,wskaźniki, listy'!$F$44,IF(L149="olej opałowy",R149*'Założenia,wskaźniki, listy'!$G$44,IF(L149="sieć ciepłownicza",0,IF(L149="prąd",0,0)))))))</f>
        <v>1.2718124999999999E-2</v>
      </c>
      <c r="U149" s="639">
        <f>IF(L149="węgiel",R149*'Założenia,wskaźniki, listy'!$C$45,IF(L149="gaz",R149*'Założenia,wskaźniki, listy'!$D$45,IF(L149="drewno",R149*'Założenia,wskaźniki, listy'!$E$45,IF(L149="pelet",R149*'Założenia,wskaźniki, listy'!$F$45,IF(L149="olej opałowy",R149*'Założenia,wskaźniki, listy'!$G$45,IF(L149="sieć ciepłownicza",0,IF(L149="prąd",0,0)))))))</f>
        <v>1.1361525000000001E-2</v>
      </c>
      <c r="V149" s="639">
        <f>IF(L149="węgiel",R149*'Założenia,wskaźniki, listy'!$C$46,IF(L149="gaz",R149*'Założenia,wskaźniki, listy'!$D$46,IF(L149="drewno",R149*'Założenia,wskaźniki, listy'!$E$46,IF(L149="pelet",R149*'Założenia,wskaźniki, listy'!$F$46,IF(L149="olej opałowy",R149*'Założenia,wskaźniki, listy'!$G$46,IF(L149="sieć ciepłownicza",R149*'Założenia,wskaźniki, listy'!$H$46,IF(L149="prąd",R149*'Założenia,wskaźniki, listy'!$I$46,0)))))))</f>
        <v>5.2986534999999995</v>
      </c>
      <c r="W149" s="639">
        <f>IF(L149="węgiel",R149*'Założenia,wskaźniki, listy'!$C$47,IF(L149="gaz",R149*'Założenia,wskaźniki, listy'!$D$47,IF(L149="drewno",R149*'Założenia,wskaźniki, listy'!$E$47,IF(L149="pelet",R149*'Założenia,wskaźniki, listy'!$F$47,IF(L149="olej opałowy",R149*'Założenia,wskaźniki, listy'!$G$47,IF(L149="sieć ciepłownicza",0,IF(L149="prąd",0,0)))))))</f>
        <v>1.526175E-5</v>
      </c>
      <c r="X149" s="639">
        <f>IF(L149="węgiel",R149*'Założenia,wskaźniki, listy'!$C$48, IF(L149="gaz",R149*'Założenia,wskaźniki, listy'!$D$48,IF(L149="drewno",R149*'Założenia,wskaźniki, listy'!$E$48,IF(L149="pelet",R149*'Założenia,wskaźniki, listy'!$F$48,IF(L149="olej opałowy",R149*'Założenia,wskaźniki, listy'!$G$48,IF(L149="sieć ciepłownicza",0,IF(L149="prąd",0,0)))))))</f>
        <v>5.0872499999999994E-2</v>
      </c>
      <c r="Y149" s="639">
        <f>IF(L149="węgiel",R149*'Założenia,wskaźniki, listy'!$C$49, IF(L149="gaz",R149*'Założenia,wskaźniki, listy'!$D$49, IF(L149="drewno",R149*'Założenia,wskaźniki, listy'!$E$49,IF(L149="pelet",R149*'Założenia,wskaźniki, listy'!$F$49,IF(L149="olej opałowy",R149*'Założenia,wskaźniki, listy'!$G$49,IF(L149="sieć ciepłownicza",0,IF(L149="prąd",0,0)))))))</f>
        <v>8.93095E-3</v>
      </c>
      <c r="Z149" s="639">
        <f>IF(L149="węgiel",R149*'Założenia,wskaźniki, listy'!$C$50,IF(L149="gaz",R149*'Założenia,wskaźniki, listy'!$D$50, IF(L149="drewno",R149*'Założenia,wskaźniki, listy'!$E$50,IF(L149="pelet",R149*'Założenia,wskaźniki, listy'!$F$50,IF(L149="pelet",R149*'Założenia,wskaźniki, listy'!$F$50,IF(L149="olej opałowy",R149*'Założenia,wskaźniki, listy'!$G$50,IF(L149="sieć ciepłownicza",0,IF(L149="prąd",0,0))))))))</f>
        <v>0.11370697362539113</v>
      </c>
      <c r="AA149" s="639">
        <f>IF(N149="węgiel",Q149*'Założenia,wskaźniki, listy'!$C$44,IF(N149="gaz",Q149*'Założenia,wskaźniki, listy'!$D$44,IF(N149="drewno",Q149*'Założenia,wskaźniki, listy'!$E$44,IF(N149="pelet",Q149*'Założenia,wskaźniki, listy'!$G$44,IF(N149="olej opałowy",Q149*'Założenia,wskaźniki, listy'!$G$44,IF(N149="sieć ciepłownicza",0,IF(N149="prąd",0,0)))))))</f>
        <v>0</v>
      </c>
      <c r="AB149" s="639">
        <f>IF(N149="węgiel",Q149*'Założenia,wskaźniki, listy'!$C$45,IF(N149="gaz",Q149*'Założenia,wskaźniki, listy'!$D$45,IF(N149="drewno",Q149*'Założenia,wskaźniki, listy'!$E$45,IF(N149="pelet",Q149*'Założenia,wskaźniki, listy'!$G$45,IF(N149="olej opałowy",Q149*'Założenia,wskaźniki, listy'!$G$45,IF(N149="sieć ciepłownicza",0,IF(N149="prąd",0,0)))))))</f>
        <v>0</v>
      </c>
      <c r="AC149" s="639">
        <f>IF(N149="węgiel",Q149*'Założenia,wskaźniki, listy'!$C$46,IF(N149="gaz",Q149*'Założenia,wskaźniki, listy'!$D$46,IF(N149="drewno",Q149*'Założenia,wskaźniki, listy'!$E$46,IF(N149="pelet",Q149*'Założenia,wskaźniki, listy'!$G$46,IF(N149="olej opałowy",Q149*'Założenia,wskaźniki, listy'!$G$46,IF(N149="sieć ciepłownicza",0,IF(N149="prąd",0,0)))))))</f>
        <v>0</v>
      </c>
      <c r="AD149" s="639">
        <f>IF(N149="węgiel",Q149*'Założenia,wskaźniki, listy'!$C$47,IF(N149="gaz",Q149*'Założenia,wskaźniki, listy'!$D$47,IF(N149="drewno",Q149*'Założenia,wskaźniki, listy'!$E$47,IF(N149="pelet",Q149*'Założenia,wskaźniki, listy'!$G$47,IF(N149="olej opałowy",Q149*'Założenia,wskaźniki, listy'!$G$47,IF(N149="sieć ciepłownicza",0,IF(N149="prąd",0,0)))))))</f>
        <v>0</v>
      </c>
      <c r="AE149" s="639">
        <f>IF(N149="węgiel",Q149*'Założenia,wskaźniki, listy'!$C$48,IF(N149="gaz",Q149*'Założenia,wskaźniki, listy'!$D$48,IF(N149="drewno",Q149*'Założenia,wskaźniki, listy'!$E$48,IF(N149="pelet",Q149*'Założenia,wskaźniki, listy'!$G$48,IF(N149="olej opałowy",Q149*'Założenia,wskaźniki, listy'!$G$48,IF(N149="sieć ciepłownicza",0,IF(N149="prąd",0,0)))))))</f>
        <v>0</v>
      </c>
      <c r="AF149" s="639">
        <f>IF(N149="węgiel",Q149*'Założenia,wskaźniki, listy'!$C$49,IF(N149="gaz",Q149*'Założenia,wskaźniki, listy'!$D$49,IF(N149="drewno",Q149*'Założenia,wskaźniki, listy'!$E$49,IF(N149="pelet",Q149*'Założenia,wskaźniki, listy'!$G$49,IF(N149="olej opałowy",Q149*'Założenia,wskaźniki, listy'!$G$49,IF(N149="sieć ciepłownicza",0,IF(N149="prąd",0,0)))))))</f>
        <v>0</v>
      </c>
      <c r="AG149" s="639">
        <f>IF(N149="węgiel",Q149*'Założenia,wskaźniki, listy'!$C$50,IF(N149="gaz",Q149*'Założenia,wskaźniki, listy'!$D$50,IF(N149="drewno",Q149*'Założenia,wskaźniki, listy'!$E$50,IF(N149="pelet",Q149*'Założenia,wskaźniki, listy'!$G$50,IF(N149="olej opałowy",Q149*'Założenia,wskaźniki, listy'!$G$50,IF(N149="sieć ciepłownicza",0,IF(N149="prąd",0,0)))))))</f>
        <v>0</v>
      </c>
      <c r="AH149" s="640">
        <f>IF(L149="węgiel",(P149+R149)/2*'Założenia,wskaźniki, listy'!$C$4,IF(L149="gaz",(P149+R149)/2*'Założenia,wskaźniki, listy'!$C$5,IF(L149="drewno",(P149+R149)/2*'Założenia,wskaźniki, listy'!$C$6,IF(L149="pelet",(P149+R149)/2*'Założenia,wskaźniki, listy'!$C$7,IF(L149="olej opałowy",(P149+R149)/2*'Założenia,wskaźniki, listy'!$C$8,IF(L149="sieć ciepłownicza",(P149+R149)/2*'Założenia,wskaźniki, listy'!$C$9,IF(L149="sieć ciepłownicza",(P149+R149)/2*'Założenia,wskaźniki, listy'!$C$10,)))))))</f>
        <v>2837.7124999999996</v>
      </c>
      <c r="AI149" s="640">
        <f>IF(N149="węgiel",Q149*'Założenia,wskaźniki, listy'!$C$4,IF(N149="gaz",Q149*'Założenia,wskaźniki, listy'!$C$5,IF(N149="drewno",Q149*'Założenia,wskaźniki, listy'!$C$6,IF(N149="pelet",Q149*'Założenia,wskaźniki, listy'!$C$7,IF(N149="olej opałowy",Q149*'Założenia,wskaźniki, listy'!$C$8,IF(N149="sieć ciepłownicza",Q149*'Założenia,wskaźniki, listy'!$C$9,IF(N149="sieć ciepłownicza",Q149*'Założenia,wskaźniki, listy'!$C$10,0)))))))</f>
        <v>0</v>
      </c>
      <c r="AJ149" s="640">
        <f>S149*'Założenia,wskaźniki, listy'!$B$64*1000</f>
        <v>1281.4080000000001</v>
      </c>
      <c r="AK149" s="640">
        <f>(H149+I149)*'Założenia,wskaźniki, listy'!$D$64*12</f>
        <v>0</v>
      </c>
      <c r="AL149" s="640">
        <f>AK149*'Założenia,wskaźniki, listy'!$F$64</f>
        <v>0</v>
      </c>
      <c r="AM149" s="639">
        <f t="shared" si="206"/>
        <v>1.2718124999999999E-2</v>
      </c>
      <c r="AN149" s="639">
        <f t="shared" si="207"/>
        <v>1.1361525000000001E-2</v>
      </c>
      <c r="AO149" s="639">
        <f>V149+AC149+S149*'Założenia,wskaźniki, listy'!$J$46</f>
        <v>6.7993446999999998</v>
      </c>
      <c r="AP149" s="639">
        <f t="shared" si="208"/>
        <v>1.526175E-5</v>
      </c>
      <c r="AQ149" s="639">
        <f t="shared" si="209"/>
        <v>5.0872499999999994E-2</v>
      </c>
      <c r="AR149" s="639">
        <f t="shared" si="210"/>
        <v>8.93095E-3</v>
      </c>
      <c r="AS149" s="639">
        <f t="shared" si="211"/>
        <v>0.11370697362539113</v>
      </c>
      <c r="AT149" s="647"/>
      <c r="AU149" s="647"/>
      <c r="AV149" s="624" t="b">
        <f t="shared" si="241"/>
        <v>0</v>
      </c>
      <c r="AW149" s="624" t="b">
        <f t="shared" si="242"/>
        <v>0</v>
      </c>
      <c r="AX149" s="624" t="b">
        <f t="shared" si="243"/>
        <v>0</v>
      </c>
      <c r="AY149" s="624" t="b">
        <f t="shared" si="244"/>
        <v>0</v>
      </c>
      <c r="AZ149" s="624">
        <f t="shared" si="245"/>
        <v>130</v>
      </c>
      <c r="BA149" s="624" t="b">
        <f t="shared" si="246"/>
        <v>0</v>
      </c>
      <c r="BB149" s="624" t="b">
        <f t="shared" si="247"/>
        <v>0</v>
      </c>
      <c r="BC149" s="624" t="b">
        <f t="shared" si="248"/>
        <v>0</v>
      </c>
      <c r="BD149" s="624" t="b">
        <f t="shared" si="249"/>
        <v>0</v>
      </c>
      <c r="BE149" s="624" t="b">
        <f t="shared" si="250"/>
        <v>0</v>
      </c>
      <c r="BF149" s="624">
        <f t="shared" si="251"/>
        <v>56.524999999999999</v>
      </c>
      <c r="BG149" s="624" t="b">
        <f t="shared" si="252"/>
        <v>0</v>
      </c>
      <c r="BH149" s="624" t="b">
        <f t="shared" si="253"/>
        <v>0</v>
      </c>
      <c r="BI149" s="624" t="b">
        <f t="shared" si="254"/>
        <v>0</v>
      </c>
      <c r="BJ149" s="624" t="b">
        <f t="shared" si="255"/>
        <v>0</v>
      </c>
      <c r="BK149" s="624" t="b">
        <f t="shared" si="256"/>
        <v>0</v>
      </c>
      <c r="BL149" s="624" t="b">
        <f t="shared" si="257"/>
        <v>0</v>
      </c>
      <c r="BM149" s="624" t="b">
        <f t="shared" si="258"/>
        <v>0</v>
      </c>
      <c r="BN149" s="624" t="b">
        <f t="shared" si="259"/>
        <v>0</v>
      </c>
      <c r="BO149" s="624" t="b">
        <f t="shared" si="260"/>
        <v>0</v>
      </c>
      <c r="BP149" s="624" t="b">
        <f t="shared" si="261"/>
        <v>0</v>
      </c>
      <c r="BQ149" s="624" t="b">
        <f t="shared" si="262"/>
        <v>0</v>
      </c>
    </row>
    <row r="150" spans="1:69" ht="8.25" customHeight="1">
      <c r="A150" s="1087"/>
      <c r="B150" s="872"/>
      <c r="C150" s="872"/>
      <c r="D150" s="645"/>
      <c r="E150" s="645"/>
      <c r="F150" s="644"/>
      <c r="G150" s="644"/>
      <c r="H150" s="644"/>
      <c r="I150" s="635"/>
      <c r="J150" s="644">
        <f>IF(F150&lt;=1966,'Założenia,wskaźniki, listy'!$H$4,IF(F150&gt;1966,IF(F150&lt;=1985,'Założenia,wskaźniki, listy'!$H$5,IF(F150&gt;1985,IF(F150&lt;=1992,'Założenia,wskaźniki, listy'!$H$6,IF(F150&gt;1992,IF(F150&lt;=1996,'Założenia,wskaźniki, listy'!$H$7,IF(F150&gt;1996,IF(F150&lt;=2015,'Założenia,wskaźniki, listy'!$H$8)))))))))</f>
        <v>290</v>
      </c>
      <c r="K150" s="864"/>
      <c r="L150" s="644" t="s">
        <v>79</v>
      </c>
      <c r="M150" s="644">
        <v>1.5</v>
      </c>
      <c r="N150" s="644"/>
      <c r="O150" s="637">
        <f t="shared" si="240"/>
        <v>22.5</v>
      </c>
      <c r="P150" s="646">
        <f>IF(K150="kompletna",J150*G150*0.0036*'Założenia,wskaźniki, listy'!$P$9,IF(K150="częściowa",J150*G150*0.0036*'Założenia,wskaźniki, listy'!$P$10,IF(K150="brak",J150*G150*0.0036*'Założenia,wskaźniki, listy'!$P$11,0)))</f>
        <v>0</v>
      </c>
      <c r="Q150" s="638">
        <f>H150*'Założenia,wskaźniki, listy'!$L$15</f>
        <v>0</v>
      </c>
      <c r="R150" s="635">
        <f>IF(L150="węgiel",'Mieszkalne - baza'!M150*'Założenia,wskaźniki, listy'!$B$4,IF(L150="gaz",'Mieszkalne - baza'!M150*'Założenia,wskaźniki, listy'!$B$5,IF(L150="drewno",'Mieszkalne - baza'!M150*'Założenia,wskaźniki, listy'!$B$6,IF(L150="pelet",'Mieszkalne - baza'!M150*'Założenia,wskaźniki, listy'!$B$7,IF(L150="olej opałowy",'Mieszkalne - baza'!M150*'Założenia,wskaźniki, listy'!$B$8,IF(L150="sieć ciepłownicza",0,0))))))</f>
        <v>22.5</v>
      </c>
      <c r="S150" s="1085"/>
      <c r="T150" s="639">
        <f>IF(L150="węgiel",R150*'Założenia,wskaźniki, listy'!$C$44,IF(L150="gaz",R150*'Założenia,wskaźniki, listy'!$D$44,IF(L150="drewno",R150*'Założenia,wskaźniki, listy'!$E$44,IF(L150="pelet",R150*'Założenia,wskaźniki, listy'!$F$44,IF(L150="olej opałowy",R150*'Założenia,wskaźniki, listy'!$G$44,IF(L150="sieć ciepłownicza",0,IF(L150="prąd",0,0)))))))</f>
        <v>1.0800000000000001E-2</v>
      </c>
      <c r="U150" s="639">
        <f>IF(L150="węgiel",R150*'Założenia,wskaźniki, listy'!$C$45,IF(L150="gaz",R150*'Założenia,wskaźniki, listy'!$D$45,IF(L150="drewno",R150*'Założenia,wskaźniki, listy'!$E$45,IF(L150="pelet",R150*'Założenia,wskaźniki, listy'!$F$45,IF(L150="olej opałowy",R150*'Założenia,wskaźniki, listy'!$G$45,IF(L150="sieć ciepłownicza",0,IF(L150="prąd",0,0)))))))</f>
        <v>1.0574999999999999E-2</v>
      </c>
      <c r="V150" s="639">
        <f>IF(L150="węgiel",R150*'Założenia,wskaźniki, listy'!$C$46,IF(L150="gaz",R150*'Założenia,wskaźniki, listy'!$D$46,IF(L150="drewno",R150*'Założenia,wskaźniki, listy'!$E$46,IF(L150="pelet",R150*'Założenia,wskaźniki, listy'!$F$46,IF(L150="olej opałowy",R150*'Założenia,wskaźniki, listy'!$G$46,IF(L150="sieć ciepłownicza",R150*'Założenia,wskaźniki, listy'!$H$46,IF(L150="prąd",R150*'Założenia,wskaźniki, listy'!$I$46,0)))))))</f>
        <v>0</v>
      </c>
      <c r="W150" s="639">
        <f>IF(L150="węgiel",R150*'Założenia,wskaźniki, listy'!$C$47,IF(L150="gaz",R150*'Założenia,wskaźniki, listy'!$D$47,IF(L150="drewno",R150*'Założenia,wskaźniki, listy'!$E$47,IF(L150="pelet",R150*'Założenia,wskaźniki, listy'!$F$47,IF(L150="olej opałowy",R150*'Założenia,wskaźniki, listy'!$G$47,IF(L150="sieć ciepłownicza",0,IF(L150="prąd",0,0)))))))</f>
        <v>2.7225000000000002E-6</v>
      </c>
      <c r="X150" s="639">
        <f>IF(L150="węgiel",R150*'Założenia,wskaźniki, listy'!$C$48, IF(L150="gaz",R150*'Założenia,wskaźniki, listy'!$D$48,IF(L150="drewno",R150*'Założenia,wskaźniki, listy'!$E$48,IF(L150="pelet",R150*'Założenia,wskaźniki, listy'!$F$48,IF(L150="olej opałowy",R150*'Założenia,wskaźniki, listy'!$G$48,IF(L150="sieć ciepłownicza",0,IF(L150="prąd",0,0)))))))</f>
        <v>2.475E-4</v>
      </c>
      <c r="Y150" s="639">
        <f>IF(L150="węgiel",R150*'Założenia,wskaźniki, listy'!$C$49, IF(L150="gaz",R150*'Założenia,wskaźniki, listy'!$D$49, IF(L150="drewno",R150*'Założenia,wskaźniki, listy'!$E$49,IF(L150="pelet",R150*'Założenia,wskaźniki, listy'!$F$49,IF(L150="olej opałowy",R150*'Założenia,wskaźniki, listy'!$G$49,IF(L150="sieć ciepłownicza",0,IF(L150="prąd",0,0)))))))</f>
        <v>1.8000000000000002E-3</v>
      </c>
      <c r="Z150" s="639">
        <f>IF(L150="węgiel",R150*'Założenia,wskaźniki, listy'!$C$50,IF(L150="gaz",R150*'Założenia,wskaźniki, listy'!$D$50, IF(L150="drewno",R150*'Założenia,wskaźniki, listy'!$E$50,IF(L150="pelet",R150*'Założenia,wskaźniki, listy'!$F$50,IF(L150="pelet",R150*'Założenia,wskaźniki, listy'!$F$50,IF(L150="olej opałowy",R150*'Założenia,wskaźniki, listy'!$G$50,IF(L150="sieć ciepłownicza",0,IF(L150="prąd",0,0))))))))</f>
        <v>4.0365000000000002E-3</v>
      </c>
      <c r="AA150" s="639">
        <f>IF(N150="węgiel",Q150*'Założenia,wskaźniki, listy'!$C$44,IF(N150="gaz",Q150*'Założenia,wskaźniki, listy'!$D$44,IF(N150="drewno",Q150*'Założenia,wskaźniki, listy'!$E$44,IF(N150="pelet",Q150*'Założenia,wskaźniki, listy'!$G$44,IF(N150="olej opałowy",Q150*'Założenia,wskaźniki, listy'!$G$44,IF(N150="sieć ciepłownicza",0,IF(N150="prąd",0,0)))))))</f>
        <v>0</v>
      </c>
      <c r="AB150" s="639">
        <f>IF(N150="węgiel",Q150*'Założenia,wskaźniki, listy'!$C$45,IF(N150="gaz",Q150*'Założenia,wskaźniki, listy'!$D$45,IF(N150="drewno",Q150*'Założenia,wskaźniki, listy'!$E$45,IF(N150="pelet",Q150*'Założenia,wskaźniki, listy'!$G$45,IF(N150="olej opałowy",Q150*'Założenia,wskaźniki, listy'!$G$45,IF(N150="sieć ciepłownicza",0,IF(N150="prąd",0,0)))))))</f>
        <v>0</v>
      </c>
      <c r="AC150" s="639">
        <f>IF(N150="węgiel",Q150*'Założenia,wskaźniki, listy'!$C$46,IF(N150="gaz",Q150*'Założenia,wskaźniki, listy'!$D$46,IF(N150="drewno",Q150*'Założenia,wskaźniki, listy'!$E$46,IF(N150="pelet",Q150*'Założenia,wskaźniki, listy'!$G$46,IF(N150="olej opałowy",Q150*'Założenia,wskaźniki, listy'!$G$46,IF(N150="sieć ciepłownicza",0,IF(N150="prąd",0,0)))))))</f>
        <v>0</v>
      </c>
      <c r="AD150" s="639">
        <f>IF(N150="węgiel",Q150*'Założenia,wskaźniki, listy'!$C$47,IF(N150="gaz",Q150*'Założenia,wskaźniki, listy'!$D$47,IF(N150="drewno",Q150*'Założenia,wskaźniki, listy'!$E$47,IF(N150="pelet",Q150*'Założenia,wskaźniki, listy'!$G$47,IF(N150="olej opałowy",Q150*'Założenia,wskaźniki, listy'!$G$47,IF(N150="sieć ciepłownicza",0,IF(N150="prąd",0,0)))))))</f>
        <v>0</v>
      </c>
      <c r="AE150" s="639">
        <f>IF(N150="węgiel",Q150*'Założenia,wskaźniki, listy'!$C$48,IF(N150="gaz",Q150*'Założenia,wskaźniki, listy'!$D$48,IF(N150="drewno",Q150*'Założenia,wskaźniki, listy'!$E$48,IF(N150="pelet",Q150*'Założenia,wskaźniki, listy'!$G$48,IF(N150="olej opałowy",Q150*'Założenia,wskaźniki, listy'!$G$48,IF(N150="sieć ciepłownicza",0,IF(N150="prąd",0,0)))))))</f>
        <v>0</v>
      </c>
      <c r="AF150" s="639">
        <f>IF(N150="węgiel",Q150*'Założenia,wskaźniki, listy'!$C$49,IF(N150="gaz",Q150*'Założenia,wskaźniki, listy'!$D$49,IF(N150="drewno",Q150*'Założenia,wskaźniki, listy'!$E$49,IF(N150="pelet",Q150*'Założenia,wskaźniki, listy'!$G$49,IF(N150="olej opałowy",Q150*'Założenia,wskaźniki, listy'!$G$49,IF(N150="sieć ciepłownicza",0,IF(N150="prąd",0,0)))))))</f>
        <v>0</v>
      </c>
      <c r="AG150" s="639">
        <f>IF(N150="węgiel",Q150*'Założenia,wskaźniki, listy'!$C$50,IF(N150="gaz",Q150*'Założenia,wskaźniki, listy'!$D$50,IF(N150="drewno",Q150*'Założenia,wskaźniki, listy'!$E$50,IF(N150="pelet",Q150*'Założenia,wskaźniki, listy'!$G$50,IF(N150="olej opałowy",Q150*'Założenia,wskaźniki, listy'!$G$50,IF(N150="sieć ciepłownicza",0,IF(N150="prąd",0,0)))))))</f>
        <v>0</v>
      </c>
      <c r="AH150" s="640">
        <f>IF(L150="węgiel",(P150+R150)/2*'Założenia,wskaźniki, listy'!$C$4,IF(L150="gaz",(P150+R150)/2*'Założenia,wskaźniki, listy'!$C$5,IF(L150="drewno",(P150+R150)/2*'Założenia,wskaźniki, listy'!$C$6,IF(L150="pelet",(P150+R150)/2*'Założenia,wskaźniki, listy'!$C$7,IF(L150="olej opałowy",(P150+R150)/2*'Założenia,wskaźniki, listy'!$C$8,IF(L150="sieć ciepłownicza",(P150+R150)/2*'Założenia,wskaźniki, listy'!$C$9,IF(L150="sieć ciepłownicza",(P150+R150)/2*'Założenia,wskaźniki, listy'!$C$10,)))))))</f>
        <v>427.5</v>
      </c>
      <c r="AI150" s="640">
        <f>IF(N150="węgiel",Q150*'Założenia,wskaźniki, listy'!$C$4,IF(N150="gaz",Q150*'Założenia,wskaźniki, listy'!$C$5,IF(N150="drewno",Q150*'Założenia,wskaźniki, listy'!$C$6,IF(N150="pelet",Q150*'Założenia,wskaźniki, listy'!$C$7,IF(N150="olej opałowy",Q150*'Założenia,wskaźniki, listy'!$C$8,IF(N150="sieć ciepłownicza",Q150*'Założenia,wskaźniki, listy'!$C$9,IF(N150="sieć ciepłownicza",Q150*'Założenia,wskaźniki, listy'!$C$10,0)))))))</f>
        <v>0</v>
      </c>
      <c r="AJ150" s="640">
        <f>S150*'Założenia,wskaźniki, listy'!$B$64*1000</f>
        <v>0</v>
      </c>
      <c r="AK150" s="640">
        <f>(H150+I150)*'Założenia,wskaźniki, listy'!$D$64*12</f>
        <v>0</v>
      </c>
      <c r="AL150" s="640">
        <f>AK150*'Założenia,wskaźniki, listy'!$F$64</f>
        <v>0</v>
      </c>
      <c r="AM150" s="639">
        <f t="shared" si="206"/>
        <v>1.0800000000000001E-2</v>
      </c>
      <c r="AN150" s="639">
        <f t="shared" si="207"/>
        <v>1.0574999999999999E-2</v>
      </c>
      <c r="AO150" s="639">
        <f>V150+AC150+S150*'Założenia,wskaźniki, listy'!$J$46</f>
        <v>0</v>
      </c>
      <c r="AP150" s="639">
        <f t="shared" si="208"/>
        <v>2.7225000000000002E-6</v>
      </c>
      <c r="AQ150" s="639">
        <f t="shared" si="209"/>
        <v>2.475E-4</v>
      </c>
      <c r="AR150" s="639">
        <f t="shared" si="210"/>
        <v>1.8000000000000002E-3</v>
      </c>
      <c r="AS150" s="639">
        <f t="shared" si="211"/>
        <v>4.0365000000000002E-3</v>
      </c>
      <c r="AT150" s="647"/>
      <c r="AU150" s="647"/>
      <c r="AV150" s="624">
        <f t="shared" si="241"/>
        <v>0</v>
      </c>
      <c r="AW150" s="624" t="b">
        <f t="shared" si="242"/>
        <v>0</v>
      </c>
      <c r="AX150" s="624" t="b">
        <f t="shared" si="243"/>
        <v>0</v>
      </c>
      <c r="AY150" s="624" t="b">
        <f t="shared" si="244"/>
        <v>0</v>
      </c>
      <c r="AZ150" s="624" t="b">
        <f t="shared" si="245"/>
        <v>0</v>
      </c>
      <c r="BA150" s="624" t="b">
        <f t="shared" si="246"/>
        <v>0</v>
      </c>
      <c r="BB150" s="624" t="b">
        <f t="shared" si="247"/>
        <v>0</v>
      </c>
      <c r="BC150" s="624" t="b">
        <f t="shared" si="248"/>
        <v>0</v>
      </c>
      <c r="BD150" s="624" t="b">
        <f t="shared" si="249"/>
        <v>0</v>
      </c>
      <c r="BE150" s="624" t="b">
        <f t="shared" si="250"/>
        <v>0</v>
      </c>
      <c r="BF150" s="624" t="b">
        <f t="shared" si="251"/>
        <v>0</v>
      </c>
      <c r="BG150" s="624" t="b">
        <f t="shared" si="252"/>
        <v>0</v>
      </c>
      <c r="BH150" s="624">
        <f t="shared" si="253"/>
        <v>22.5</v>
      </c>
      <c r="BI150" s="624" t="b">
        <f t="shared" si="254"/>
        <v>0</v>
      </c>
      <c r="BJ150" s="624" t="b">
        <f t="shared" si="255"/>
        <v>0</v>
      </c>
      <c r="BK150" s="624" t="b">
        <f t="shared" si="256"/>
        <v>0</v>
      </c>
      <c r="BL150" s="624" t="b">
        <f t="shared" si="257"/>
        <v>0</v>
      </c>
      <c r="BM150" s="624" t="b">
        <f t="shared" si="258"/>
        <v>0</v>
      </c>
      <c r="BN150" s="624" t="b">
        <f t="shared" si="259"/>
        <v>0</v>
      </c>
      <c r="BO150" s="624" t="b">
        <f t="shared" si="260"/>
        <v>0</v>
      </c>
      <c r="BP150" s="624" t="b">
        <f t="shared" si="261"/>
        <v>0</v>
      </c>
      <c r="BQ150" s="624" t="b">
        <f t="shared" si="262"/>
        <v>0</v>
      </c>
    </row>
    <row r="151" spans="1:69" ht="8.25" customHeight="1">
      <c r="A151" s="1086">
        <v>74</v>
      </c>
      <c r="B151" s="872" t="s">
        <v>21</v>
      </c>
      <c r="C151" s="873" t="s">
        <v>634</v>
      </c>
      <c r="D151" s="645"/>
      <c r="E151" s="645">
        <v>25</v>
      </c>
      <c r="F151" s="644">
        <v>1980</v>
      </c>
      <c r="G151" s="644">
        <v>150</v>
      </c>
      <c r="H151" s="644"/>
      <c r="I151" s="635"/>
      <c r="J151" s="644">
        <f>IF(F151&lt;=1966,'Założenia,wskaźniki, listy'!$H$4,IF(F151&gt;1966,IF(F151&lt;=1985,'Założenia,wskaźniki, listy'!$H$5,IF(F151&gt;1985,IF(F151&lt;=1992,'Założenia,wskaźniki, listy'!$H$6,IF(F151&gt;1992,IF(F151&lt;=1996,'Założenia,wskaźniki, listy'!$H$7,IF(F151&gt;1996,IF(F151&lt;=2015,'Założenia,wskaźniki, listy'!$H$8)))))))))</f>
        <v>250</v>
      </c>
      <c r="K151" s="864" t="s">
        <v>32</v>
      </c>
      <c r="L151" s="644" t="s">
        <v>8</v>
      </c>
      <c r="M151" s="644">
        <v>2</v>
      </c>
      <c r="N151" s="644"/>
      <c r="O151" s="637">
        <f t="shared" si="240"/>
        <v>63.11</v>
      </c>
      <c r="P151" s="646">
        <f>IF(K151="kompletna",J151*G151*0.0036*'Założenia,wskaźniki, listy'!$P$9,IF(K151="częściowa",J151*G151*0.0036*'Założenia,wskaźniki, listy'!$P$10,IF(K151="brak",J151*G151*0.0036*'Założenia,wskaźniki, listy'!$P$11,0)))</f>
        <v>81</v>
      </c>
      <c r="Q151" s="638">
        <f>H151*'Założenia,wskaźniki, listy'!$L$15</f>
        <v>0</v>
      </c>
      <c r="R151" s="635">
        <f>IF(L151="węgiel",'Mieszkalne - baza'!M151*'Założenia,wskaźniki, listy'!$B$4,IF(L151="gaz",'Mieszkalne - baza'!M151*'Założenia,wskaźniki, listy'!$B$5,IF(L151="drewno",'Mieszkalne - baza'!M151*'Założenia,wskaźniki, listy'!$B$6,IF(L151="pelet",'Mieszkalne - baza'!M151*'Założenia,wskaźniki, listy'!$B$7,IF(L151="olej opałowy",'Mieszkalne - baza'!M151*'Założenia,wskaźniki, listy'!$B$8,IF(L151="sieć ciepłownicza",0,0))))))</f>
        <v>45.22</v>
      </c>
      <c r="S151" s="1084">
        <v>1.6355999999999999</v>
      </c>
      <c r="T151" s="639">
        <f>IF(L151="węgiel",R151*'Założenia,wskaźniki, listy'!$C$44,IF(L151="gaz",R151*'Założenia,wskaźniki, listy'!$D$44,IF(L151="drewno",R151*'Założenia,wskaźniki, listy'!$E$44,IF(L151="pelet",R151*'Założenia,wskaźniki, listy'!$F$44,IF(L151="olej opałowy",R151*'Założenia,wskaźniki, listy'!$G$44,IF(L151="sieć ciepłownicza",0,IF(L151="prąd",0,0)))))))</f>
        <v>1.01745E-2</v>
      </c>
      <c r="U151" s="639">
        <f>IF(L151="węgiel",R151*'Założenia,wskaźniki, listy'!$C$45,IF(L151="gaz",R151*'Założenia,wskaźniki, listy'!$D$45,IF(L151="drewno",R151*'Założenia,wskaźniki, listy'!$E$45,IF(L151="pelet",R151*'Założenia,wskaźniki, listy'!$F$45,IF(L151="olej opałowy",R151*'Założenia,wskaźniki, listy'!$G$45,IF(L151="sieć ciepłownicza",0,IF(L151="prąd",0,0)))))))</f>
        <v>9.0892200000000003E-3</v>
      </c>
      <c r="V151" s="639">
        <f>IF(L151="węgiel",R151*'Założenia,wskaźniki, listy'!$C$46,IF(L151="gaz",R151*'Założenia,wskaźniki, listy'!$D$46,IF(L151="drewno",R151*'Założenia,wskaźniki, listy'!$E$46,IF(L151="pelet",R151*'Założenia,wskaźniki, listy'!$F$46,IF(L151="olej opałowy",R151*'Założenia,wskaźniki, listy'!$G$46,IF(L151="sieć ciepłownicza",R151*'Założenia,wskaźniki, listy'!$H$46,IF(L151="prąd",R151*'Założenia,wskaźniki, listy'!$I$46,0)))))))</f>
        <v>4.2389227999999992</v>
      </c>
      <c r="W151" s="639">
        <f>IF(L151="węgiel",R151*'Założenia,wskaźniki, listy'!$C$47,IF(L151="gaz",R151*'Założenia,wskaźniki, listy'!$D$47,IF(L151="drewno",R151*'Założenia,wskaźniki, listy'!$E$47,IF(L151="pelet",R151*'Założenia,wskaźniki, listy'!$F$47,IF(L151="olej opałowy",R151*'Założenia,wskaźniki, listy'!$G$47,IF(L151="sieć ciepłownicza",0,IF(L151="prąd",0,0)))))))</f>
        <v>1.22094E-5</v>
      </c>
      <c r="X151" s="639">
        <f>IF(L151="węgiel",R151*'Założenia,wskaźniki, listy'!$C$48, IF(L151="gaz",R151*'Założenia,wskaźniki, listy'!$D$48,IF(L151="drewno",R151*'Założenia,wskaźniki, listy'!$E$48,IF(L151="pelet",R151*'Założenia,wskaźniki, listy'!$F$48,IF(L151="olej opałowy",R151*'Założenia,wskaźniki, listy'!$G$48,IF(L151="sieć ciepłownicza",0,IF(L151="prąd",0,0)))))))</f>
        <v>4.0697999999999998E-2</v>
      </c>
      <c r="Y151" s="639">
        <f>IF(L151="węgiel",R151*'Założenia,wskaźniki, listy'!$C$49, IF(L151="gaz",R151*'Założenia,wskaźniki, listy'!$D$49, IF(L151="drewno",R151*'Założenia,wskaźniki, listy'!$E$49,IF(L151="pelet",R151*'Założenia,wskaźniki, listy'!$F$49,IF(L151="olej opałowy",R151*'Założenia,wskaźniki, listy'!$G$49,IF(L151="sieć ciepłownicza",0,IF(L151="prąd",0,0)))))))</f>
        <v>7.1447599999999991E-3</v>
      </c>
      <c r="Z151" s="639">
        <f>IF(L151="węgiel",R151*'Założenia,wskaźniki, listy'!$C$50,IF(L151="gaz",R151*'Założenia,wskaźniki, listy'!$D$50, IF(L151="drewno",R151*'Założenia,wskaźniki, listy'!$E$50,IF(L151="pelet",R151*'Założenia,wskaźniki, listy'!$F$50,IF(L151="pelet",R151*'Założenia,wskaźniki, listy'!$F$50,IF(L151="olej opałowy",R151*'Założenia,wskaźniki, listy'!$G$50,IF(L151="sieć ciepłownicza",0,IF(L151="prąd",0,0))))))))</f>
        <v>9.0965578900312913E-2</v>
      </c>
      <c r="AA151" s="639">
        <f>IF(N151="węgiel",Q151*'Założenia,wskaźniki, listy'!$C$44,IF(N151="gaz",Q151*'Założenia,wskaźniki, listy'!$D$44,IF(N151="drewno",Q151*'Założenia,wskaźniki, listy'!$E$44,IF(N151="pelet",Q151*'Założenia,wskaźniki, listy'!$G$44,IF(N151="olej opałowy",Q151*'Założenia,wskaźniki, listy'!$G$44,IF(N151="sieć ciepłownicza",0,IF(N151="prąd",0,0)))))))</f>
        <v>0</v>
      </c>
      <c r="AB151" s="639">
        <f>IF(N151="węgiel",Q151*'Założenia,wskaźniki, listy'!$C$45,IF(N151="gaz",Q151*'Założenia,wskaźniki, listy'!$D$45,IF(N151="drewno",Q151*'Założenia,wskaźniki, listy'!$E$45,IF(N151="pelet",Q151*'Założenia,wskaźniki, listy'!$G$45,IF(N151="olej opałowy",Q151*'Założenia,wskaźniki, listy'!$G$45,IF(N151="sieć ciepłownicza",0,IF(N151="prąd",0,0)))))))</f>
        <v>0</v>
      </c>
      <c r="AC151" s="639">
        <f>IF(N151="węgiel",Q151*'Założenia,wskaźniki, listy'!$C$46,IF(N151="gaz",Q151*'Założenia,wskaźniki, listy'!$D$46,IF(N151="drewno",Q151*'Założenia,wskaźniki, listy'!$E$46,IF(N151="pelet",Q151*'Założenia,wskaźniki, listy'!$G$46,IF(N151="olej opałowy",Q151*'Założenia,wskaźniki, listy'!$G$46,IF(N151="sieć ciepłownicza",0,IF(N151="prąd",0,0)))))))</f>
        <v>0</v>
      </c>
      <c r="AD151" s="639">
        <f>IF(N151="węgiel",Q151*'Założenia,wskaźniki, listy'!$C$47,IF(N151="gaz",Q151*'Założenia,wskaźniki, listy'!$D$47,IF(N151="drewno",Q151*'Założenia,wskaźniki, listy'!$E$47,IF(N151="pelet",Q151*'Założenia,wskaźniki, listy'!$G$47,IF(N151="olej opałowy",Q151*'Założenia,wskaźniki, listy'!$G$47,IF(N151="sieć ciepłownicza",0,IF(N151="prąd",0,0)))))))</f>
        <v>0</v>
      </c>
      <c r="AE151" s="639">
        <f>IF(N151="węgiel",Q151*'Założenia,wskaźniki, listy'!$C$48,IF(N151="gaz",Q151*'Założenia,wskaźniki, listy'!$D$48,IF(N151="drewno",Q151*'Założenia,wskaźniki, listy'!$E$48,IF(N151="pelet",Q151*'Założenia,wskaźniki, listy'!$G$48,IF(N151="olej opałowy",Q151*'Założenia,wskaźniki, listy'!$G$48,IF(N151="sieć ciepłownicza",0,IF(N151="prąd",0,0)))))))</f>
        <v>0</v>
      </c>
      <c r="AF151" s="639">
        <f>IF(N151="węgiel",Q151*'Założenia,wskaźniki, listy'!$C$49,IF(N151="gaz",Q151*'Założenia,wskaźniki, listy'!$D$49,IF(N151="drewno",Q151*'Założenia,wskaźniki, listy'!$E$49,IF(N151="pelet",Q151*'Założenia,wskaźniki, listy'!$G$49,IF(N151="olej opałowy",Q151*'Założenia,wskaźniki, listy'!$G$49,IF(N151="sieć ciepłownicza",0,IF(N151="prąd",0,0)))))))</f>
        <v>0</v>
      </c>
      <c r="AG151" s="639">
        <f>IF(N151="węgiel",Q151*'Założenia,wskaźniki, listy'!$C$50,IF(N151="gaz",Q151*'Założenia,wskaźniki, listy'!$D$50,IF(N151="drewno",Q151*'Założenia,wskaźniki, listy'!$E$50,IF(N151="pelet",Q151*'Założenia,wskaźniki, listy'!$G$50,IF(N151="olej opałowy",Q151*'Założenia,wskaźniki, listy'!$G$50,IF(N151="sieć ciepłownicza",0,IF(N151="prąd",0,0)))))))</f>
        <v>0</v>
      </c>
      <c r="AH151" s="640">
        <f>IF(L151="węgiel",(P151+R151)/2*'Założenia,wskaźniki, listy'!$C$4,IF(L151="gaz",(P151+R151)/2*'Założenia,wskaźniki, listy'!$C$5,IF(L151="drewno",(P151+R151)/2*'Założenia,wskaźniki, listy'!$C$6,IF(L151="pelet",(P151+R151)/2*'Założenia,wskaźniki, listy'!$C$7,IF(L151="olej opałowy",(P151+R151)/2*'Założenia,wskaźniki, listy'!$C$8,IF(L151="sieć ciepłownicza",(P151+R151)/2*'Założenia,wskaźniki, listy'!$C$9,IF(L151="sieć ciepłownicza",(P151+R151)/2*'Założenia,wskaźniki, listy'!$C$10,)))))))</f>
        <v>2587.5099999999998</v>
      </c>
      <c r="AI151" s="640">
        <f>IF(N151="węgiel",Q151*'Założenia,wskaźniki, listy'!$C$4,IF(N151="gaz",Q151*'Założenia,wskaźniki, listy'!$C$5,IF(N151="drewno",Q151*'Założenia,wskaźniki, listy'!$C$6,IF(N151="pelet",Q151*'Założenia,wskaźniki, listy'!$C$7,IF(N151="olej opałowy",Q151*'Założenia,wskaźniki, listy'!$C$8,IF(N151="sieć ciepłownicza",Q151*'Założenia,wskaźniki, listy'!$C$9,IF(N151="sieć ciepłownicza",Q151*'Założenia,wskaźniki, listy'!$C$10,0)))))))</f>
        <v>0</v>
      </c>
      <c r="AJ151" s="640">
        <f>S151*'Założenia,wskaźniki, listy'!$B$64*1000</f>
        <v>1161.2760000000001</v>
      </c>
      <c r="AK151" s="640">
        <f>(H151+I151)*'Założenia,wskaźniki, listy'!$D$64*12</f>
        <v>0</v>
      </c>
      <c r="AL151" s="640">
        <f>AK151*'Założenia,wskaźniki, listy'!$F$64</f>
        <v>0</v>
      </c>
      <c r="AM151" s="639">
        <f t="shared" si="206"/>
        <v>1.01745E-2</v>
      </c>
      <c r="AN151" s="639">
        <f t="shared" si="207"/>
        <v>9.0892200000000003E-3</v>
      </c>
      <c r="AO151" s="639">
        <f>V151+AC151+S151*'Założenia,wskaźniki, listy'!$J$46</f>
        <v>5.598924199999999</v>
      </c>
      <c r="AP151" s="639">
        <f t="shared" si="208"/>
        <v>1.22094E-5</v>
      </c>
      <c r="AQ151" s="639">
        <f t="shared" si="209"/>
        <v>4.0697999999999998E-2</v>
      </c>
      <c r="AR151" s="639">
        <f t="shared" si="210"/>
        <v>7.1447599999999991E-3</v>
      </c>
      <c r="AS151" s="639">
        <f t="shared" si="211"/>
        <v>9.0965578900312913E-2</v>
      </c>
      <c r="AT151" s="647"/>
      <c r="AU151" s="647"/>
      <c r="AV151" s="624" t="b">
        <f t="shared" si="241"/>
        <v>0</v>
      </c>
      <c r="AW151" s="624" t="b">
        <f t="shared" si="242"/>
        <v>0</v>
      </c>
      <c r="AX151" s="624">
        <f t="shared" si="243"/>
        <v>150</v>
      </c>
      <c r="AY151" s="624">
        <f t="shared" si="244"/>
        <v>150</v>
      </c>
      <c r="AZ151" s="624" t="b">
        <f t="shared" si="245"/>
        <v>0</v>
      </c>
      <c r="BA151" s="624" t="b">
        <f t="shared" si="246"/>
        <v>0</v>
      </c>
      <c r="BB151" s="624" t="b">
        <f t="shared" si="247"/>
        <v>0</v>
      </c>
      <c r="BC151" s="624" t="b">
        <f t="shared" si="248"/>
        <v>0</v>
      </c>
      <c r="BD151" s="624" t="b">
        <f t="shared" si="249"/>
        <v>0</v>
      </c>
      <c r="BE151" s="624" t="b">
        <f t="shared" si="250"/>
        <v>0</v>
      </c>
      <c r="BF151" s="624">
        <f t="shared" si="251"/>
        <v>45.22</v>
      </c>
      <c r="BG151" s="624" t="b">
        <f t="shared" si="252"/>
        <v>0</v>
      </c>
      <c r="BH151" s="624" t="b">
        <f t="shared" si="253"/>
        <v>0</v>
      </c>
      <c r="BI151" s="624" t="b">
        <f t="shared" si="254"/>
        <v>0</v>
      </c>
      <c r="BJ151" s="624" t="b">
        <f t="shared" si="255"/>
        <v>0</v>
      </c>
      <c r="BK151" s="624" t="b">
        <f t="shared" si="256"/>
        <v>0</v>
      </c>
      <c r="BL151" s="624" t="b">
        <f t="shared" si="257"/>
        <v>0</v>
      </c>
      <c r="BM151" s="624" t="b">
        <f t="shared" si="258"/>
        <v>0</v>
      </c>
      <c r="BN151" s="624" t="b">
        <f t="shared" si="259"/>
        <v>0</v>
      </c>
      <c r="BO151" s="624" t="b">
        <f t="shared" si="260"/>
        <v>0</v>
      </c>
      <c r="BP151" s="624" t="b">
        <f t="shared" si="261"/>
        <v>0</v>
      </c>
      <c r="BQ151" s="624" t="b">
        <f t="shared" si="262"/>
        <v>0</v>
      </c>
    </row>
    <row r="152" spans="1:69" ht="8.25" customHeight="1">
      <c r="A152" s="1087"/>
      <c r="B152" s="872"/>
      <c r="C152" s="872"/>
      <c r="D152" s="645"/>
      <c r="E152" s="645"/>
      <c r="F152" s="644"/>
      <c r="G152" s="644"/>
      <c r="H152" s="644"/>
      <c r="I152" s="635"/>
      <c r="J152" s="644">
        <f>IF(F152&lt;=1966,'Założenia,wskaźniki, listy'!$H$4,IF(F152&gt;1966,IF(F152&lt;=1985,'Założenia,wskaźniki, listy'!$H$5,IF(F152&gt;1985,IF(F152&lt;=1992,'Założenia,wskaźniki, listy'!$H$6,IF(F152&gt;1992,IF(F152&lt;=1996,'Założenia,wskaźniki, listy'!$H$7,IF(F152&gt;1996,IF(F152&lt;=2015,'Założenia,wskaźniki, listy'!$H$8)))))))))</f>
        <v>290</v>
      </c>
      <c r="K152" s="864"/>
      <c r="L152" s="644" t="s">
        <v>79</v>
      </c>
      <c r="M152" s="644">
        <v>3</v>
      </c>
      <c r="N152" s="644"/>
      <c r="O152" s="637">
        <f t="shared" si="240"/>
        <v>45</v>
      </c>
      <c r="P152" s="646">
        <f>IF(K152="kompletna",J152*G152*0.0036*'Założenia,wskaźniki, listy'!$P$9,IF(K152="częściowa",J152*G152*0.0036*'Założenia,wskaźniki, listy'!$P$10,IF(K152="brak",J152*G152*0.0036*'Założenia,wskaźniki, listy'!$P$11,0)))</f>
        <v>0</v>
      </c>
      <c r="Q152" s="638">
        <f>H152*'Założenia,wskaźniki, listy'!$L$15</f>
        <v>0</v>
      </c>
      <c r="R152" s="635">
        <f>IF(L152="węgiel",'Mieszkalne - baza'!M152*'Założenia,wskaźniki, listy'!$B$4,IF(L152="gaz",'Mieszkalne - baza'!M152*'Założenia,wskaźniki, listy'!$B$5,IF(L152="drewno",'Mieszkalne - baza'!M152*'Założenia,wskaźniki, listy'!$B$6,IF(L152="pelet",'Mieszkalne - baza'!M152*'Założenia,wskaźniki, listy'!$B$7,IF(L152="olej opałowy",'Mieszkalne - baza'!M152*'Założenia,wskaźniki, listy'!$B$8,IF(L152="sieć ciepłownicza",0,0))))))</f>
        <v>45</v>
      </c>
      <c r="S152" s="1085"/>
      <c r="T152" s="639">
        <f>IF(L152="węgiel",R152*'Założenia,wskaźniki, listy'!$C$44,IF(L152="gaz",R152*'Założenia,wskaźniki, listy'!$D$44,IF(L152="drewno",R152*'Założenia,wskaźniki, listy'!$E$44,IF(L152="pelet",R152*'Założenia,wskaźniki, listy'!$F$44,IF(L152="olej opałowy",R152*'Założenia,wskaźniki, listy'!$G$44,IF(L152="sieć ciepłownicza",0,IF(L152="prąd",0,0)))))))</f>
        <v>2.1600000000000001E-2</v>
      </c>
      <c r="U152" s="639">
        <f>IF(L152="węgiel",R152*'Założenia,wskaźniki, listy'!$C$45,IF(L152="gaz",R152*'Założenia,wskaźniki, listy'!$D$45,IF(L152="drewno",R152*'Założenia,wskaźniki, listy'!$E$45,IF(L152="pelet",R152*'Założenia,wskaźniki, listy'!$F$45,IF(L152="olej opałowy",R152*'Założenia,wskaźniki, listy'!$G$45,IF(L152="sieć ciepłownicza",0,IF(L152="prąd",0,0)))))))</f>
        <v>2.1149999999999999E-2</v>
      </c>
      <c r="V152" s="639">
        <f>IF(L152="węgiel",R152*'Założenia,wskaźniki, listy'!$C$46,IF(L152="gaz",R152*'Założenia,wskaźniki, listy'!$D$46,IF(L152="drewno",R152*'Założenia,wskaźniki, listy'!$E$46,IF(L152="pelet",R152*'Założenia,wskaźniki, listy'!$F$46,IF(L152="olej opałowy",R152*'Założenia,wskaźniki, listy'!$G$46,IF(L152="sieć ciepłownicza",R152*'Założenia,wskaźniki, listy'!$H$46,IF(L152="prąd",R152*'Założenia,wskaźniki, listy'!$I$46,0)))))))</f>
        <v>0</v>
      </c>
      <c r="W152" s="639">
        <f>IF(L152="węgiel",R152*'Założenia,wskaźniki, listy'!$C$47,IF(L152="gaz",R152*'Założenia,wskaźniki, listy'!$D$47,IF(L152="drewno",R152*'Założenia,wskaźniki, listy'!$E$47,IF(L152="pelet",R152*'Założenia,wskaźniki, listy'!$F$47,IF(L152="olej opałowy",R152*'Założenia,wskaźniki, listy'!$G$47,IF(L152="sieć ciepłownicza",0,IF(L152="prąd",0,0)))))))</f>
        <v>5.4450000000000004E-6</v>
      </c>
      <c r="X152" s="639">
        <f>IF(L152="węgiel",R152*'Założenia,wskaźniki, listy'!$C$48, IF(L152="gaz",R152*'Założenia,wskaźniki, listy'!$D$48,IF(L152="drewno",R152*'Założenia,wskaźniki, listy'!$E$48,IF(L152="pelet",R152*'Założenia,wskaźniki, listy'!$F$48,IF(L152="olej opałowy",R152*'Założenia,wskaźniki, listy'!$G$48,IF(L152="sieć ciepłownicza",0,IF(L152="prąd",0,0)))))))</f>
        <v>4.95E-4</v>
      </c>
      <c r="Y152" s="639">
        <f>IF(L152="węgiel",R152*'Założenia,wskaźniki, listy'!$C$49, IF(L152="gaz",R152*'Założenia,wskaźniki, listy'!$D$49, IF(L152="drewno",R152*'Założenia,wskaźniki, listy'!$E$49,IF(L152="pelet",R152*'Założenia,wskaźniki, listy'!$F$49,IF(L152="olej opałowy",R152*'Założenia,wskaźniki, listy'!$G$49,IF(L152="sieć ciepłownicza",0,IF(L152="prąd",0,0)))))))</f>
        <v>3.6000000000000003E-3</v>
      </c>
      <c r="Z152" s="639">
        <f>IF(L152="węgiel",R152*'Założenia,wskaźniki, listy'!$C$50,IF(L152="gaz",R152*'Założenia,wskaźniki, listy'!$D$50, IF(L152="drewno",R152*'Założenia,wskaźniki, listy'!$E$50,IF(L152="pelet",R152*'Założenia,wskaźniki, listy'!$F$50,IF(L152="pelet",R152*'Założenia,wskaźniki, listy'!$F$50,IF(L152="olej opałowy",R152*'Założenia,wskaźniki, listy'!$G$50,IF(L152="sieć ciepłownicza",0,IF(L152="prąd",0,0))))))))</f>
        <v>8.0730000000000003E-3</v>
      </c>
      <c r="AA152" s="639">
        <f>IF(N152="węgiel",Q152*'Założenia,wskaźniki, listy'!$C$44,IF(N152="gaz",Q152*'Założenia,wskaźniki, listy'!$D$44,IF(N152="drewno",Q152*'Założenia,wskaźniki, listy'!$E$44,IF(N152="pelet",Q152*'Założenia,wskaźniki, listy'!$G$44,IF(N152="olej opałowy",Q152*'Założenia,wskaźniki, listy'!$G$44,IF(N152="sieć ciepłownicza",0,IF(N152="prąd",0,0)))))))</f>
        <v>0</v>
      </c>
      <c r="AB152" s="639">
        <f>IF(N152="węgiel",Q152*'Założenia,wskaźniki, listy'!$C$45,IF(N152="gaz",Q152*'Założenia,wskaźniki, listy'!$D$45,IF(N152="drewno",Q152*'Założenia,wskaźniki, listy'!$E$45,IF(N152="pelet",Q152*'Założenia,wskaźniki, listy'!$G$45,IF(N152="olej opałowy",Q152*'Założenia,wskaźniki, listy'!$G$45,IF(N152="sieć ciepłownicza",0,IF(N152="prąd",0,0)))))))</f>
        <v>0</v>
      </c>
      <c r="AC152" s="639">
        <f>IF(N152="węgiel",Q152*'Założenia,wskaźniki, listy'!$C$46,IF(N152="gaz",Q152*'Założenia,wskaźniki, listy'!$D$46,IF(N152="drewno",Q152*'Założenia,wskaźniki, listy'!$E$46,IF(N152="pelet",Q152*'Założenia,wskaźniki, listy'!$G$46,IF(N152="olej opałowy",Q152*'Założenia,wskaźniki, listy'!$G$46,IF(N152="sieć ciepłownicza",0,IF(N152="prąd",0,0)))))))</f>
        <v>0</v>
      </c>
      <c r="AD152" s="639">
        <f>IF(N152="węgiel",Q152*'Założenia,wskaźniki, listy'!$C$47,IF(N152="gaz",Q152*'Założenia,wskaźniki, listy'!$D$47,IF(N152="drewno",Q152*'Założenia,wskaźniki, listy'!$E$47,IF(N152="pelet",Q152*'Założenia,wskaźniki, listy'!$G$47,IF(N152="olej opałowy",Q152*'Założenia,wskaźniki, listy'!$G$47,IF(N152="sieć ciepłownicza",0,IF(N152="prąd",0,0)))))))</f>
        <v>0</v>
      </c>
      <c r="AE152" s="639">
        <f>IF(N152="węgiel",Q152*'Założenia,wskaźniki, listy'!$C$48,IF(N152="gaz",Q152*'Założenia,wskaźniki, listy'!$D$48,IF(N152="drewno",Q152*'Założenia,wskaźniki, listy'!$E$48,IF(N152="pelet",Q152*'Założenia,wskaźniki, listy'!$G$48,IF(N152="olej opałowy",Q152*'Założenia,wskaźniki, listy'!$G$48,IF(N152="sieć ciepłownicza",0,IF(N152="prąd",0,0)))))))</f>
        <v>0</v>
      </c>
      <c r="AF152" s="639">
        <f>IF(N152="węgiel",Q152*'Założenia,wskaźniki, listy'!$C$49,IF(N152="gaz",Q152*'Założenia,wskaźniki, listy'!$D$49,IF(N152="drewno",Q152*'Założenia,wskaźniki, listy'!$E$49,IF(N152="pelet",Q152*'Założenia,wskaźniki, listy'!$G$49,IF(N152="olej opałowy",Q152*'Założenia,wskaźniki, listy'!$G$49,IF(N152="sieć ciepłownicza",0,IF(N152="prąd",0,0)))))))</f>
        <v>0</v>
      </c>
      <c r="AG152" s="639">
        <f>IF(N152="węgiel",Q152*'Założenia,wskaźniki, listy'!$C$50,IF(N152="gaz",Q152*'Założenia,wskaźniki, listy'!$D$50,IF(N152="drewno",Q152*'Założenia,wskaźniki, listy'!$E$50,IF(N152="pelet",Q152*'Założenia,wskaźniki, listy'!$G$50,IF(N152="olej opałowy",Q152*'Założenia,wskaźniki, listy'!$G$50,IF(N152="sieć ciepłownicza",0,IF(N152="prąd",0,0)))))))</f>
        <v>0</v>
      </c>
      <c r="AH152" s="640">
        <f>IF(L152="węgiel",(P152+R152)/2*'Założenia,wskaźniki, listy'!$C$4,IF(L152="gaz",(P152+R152)/2*'Założenia,wskaźniki, listy'!$C$5,IF(L152="drewno",(P152+R152)/2*'Założenia,wskaźniki, listy'!$C$6,IF(L152="pelet",(P152+R152)/2*'Założenia,wskaźniki, listy'!$C$7,IF(L152="olej opałowy",(P152+R152)/2*'Założenia,wskaźniki, listy'!$C$8,IF(L152="sieć ciepłownicza",(P152+R152)/2*'Założenia,wskaźniki, listy'!$C$9,IF(L152="sieć ciepłownicza",(P152+R152)/2*'Założenia,wskaźniki, listy'!$C$10,)))))))</f>
        <v>855</v>
      </c>
      <c r="AI152" s="640">
        <f>IF(N152="węgiel",Q152*'Założenia,wskaźniki, listy'!$C$4,IF(N152="gaz",Q152*'Założenia,wskaźniki, listy'!$C$5,IF(N152="drewno",Q152*'Założenia,wskaźniki, listy'!$C$6,IF(N152="pelet",Q152*'Założenia,wskaźniki, listy'!$C$7,IF(N152="olej opałowy",Q152*'Założenia,wskaźniki, listy'!$C$8,IF(N152="sieć ciepłownicza",Q152*'Założenia,wskaźniki, listy'!$C$9,IF(N152="sieć ciepłownicza",Q152*'Założenia,wskaźniki, listy'!$C$10,0)))))))</f>
        <v>0</v>
      </c>
      <c r="AJ152" s="640">
        <f>S152*'Założenia,wskaźniki, listy'!$B$64*1000</f>
        <v>0</v>
      </c>
      <c r="AK152" s="640">
        <f>(H152+I152)*'Założenia,wskaźniki, listy'!$D$64*12</f>
        <v>0</v>
      </c>
      <c r="AL152" s="640">
        <f>AK152*'Założenia,wskaźniki, listy'!$F$64</f>
        <v>0</v>
      </c>
      <c r="AM152" s="639">
        <f t="shared" si="206"/>
        <v>2.1600000000000001E-2</v>
      </c>
      <c r="AN152" s="639">
        <f t="shared" si="207"/>
        <v>2.1149999999999999E-2</v>
      </c>
      <c r="AO152" s="639">
        <f>V152+AC152+S152*'Założenia,wskaźniki, listy'!$J$46</f>
        <v>0</v>
      </c>
      <c r="AP152" s="639">
        <f t="shared" si="208"/>
        <v>5.4450000000000004E-6</v>
      </c>
      <c r="AQ152" s="639">
        <f t="shared" si="209"/>
        <v>4.95E-4</v>
      </c>
      <c r="AR152" s="639">
        <f t="shared" si="210"/>
        <v>3.6000000000000003E-3</v>
      </c>
      <c r="AS152" s="639">
        <f t="shared" si="211"/>
        <v>8.0730000000000003E-3</v>
      </c>
      <c r="AT152" s="647"/>
      <c r="AU152" s="647"/>
      <c r="AV152" s="624">
        <f t="shared" si="241"/>
        <v>0</v>
      </c>
      <c r="AW152" s="624" t="b">
        <f t="shared" si="242"/>
        <v>0</v>
      </c>
      <c r="AX152" s="624" t="b">
        <f t="shared" si="243"/>
        <v>0</v>
      </c>
      <c r="AY152" s="624" t="b">
        <f t="shared" si="244"/>
        <v>0</v>
      </c>
      <c r="AZ152" s="624" t="b">
        <f t="shared" si="245"/>
        <v>0</v>
      </c>
      <c r="BA152" s="624" t="b">
        <f t="shared" si="246"/>
        <v>0</v>
      </c>
      <c r="BB152" s="624" t="b">
        <f t="shared" si="247"/>
        <v>0</v>
      </c>
      <c r="BC152" s="624" t="b">
        <f t="shared" si="248"/>
        <v>0</v>
      </c>
      <c r="BD152" s="624" t="b">
        <f t="shared" si="249"/>
        <v>0</v>
      </c>
      <c r="BE152" s="624" t="b">
        <f t="shared" si="250"/>
        <v>0</v>
      </c>
      <c r="BF152" s="624" t="b">
        <f t="shared" si="251"/>
        <v>0</v>
      </c>
      <c r="BG152" s="624" t="b">
        <f t="shared" si="252"/>
        <v>0</v>
      </c>
      <c r="BH152" s="624">
        <f t="shared" si="253"/>
        <v>45</v>
      </c>
      <c r="BI152" s="624" t="b">
        <f t="shared" si="254"/>
        <v>0</v>
      </c>
      <c r="BJ152" s="624" t="b">
        <f t="shared" si="255"/>
        <v>0</v>
      </c>
      <c r="BK152" s="624" t="b">
        <f t="shared" si="256"/>
        <v>0</v>
      </c>
      <c r="BL152" s="624" t="b">
        <f t="shared" si="257"/>
        <v>0</v>
      </c>
      <c r="BM152" s="624" t="b">
        <f t="shared" si="258"/>
        <v>0</v>
      </c>
      <c r="BN152" s="624" t="b">
        <f t="shared" si="259"/>
        <v>0</v>
      </c>
      <c r="BO152" s="624" t="b">
        <f t="shared" si="260"/>
        <v>0</v>
      </c>
      <c r="BP152" s="624" t="b">
        <f t="shared" si="261"/>
        <v>0</v>
      </c>
      <c r="BQ152" s="624" t="b">
        <f t="shared" si="262"/>
        <v>0</v>
      </c>
    </row>
    <row r="153" spans="1:69" ht="8.25" customHeight="1">
      <c r="A153" s="1086">
        <v>75</v>
      </c>
      <c r="B153" s="872" t="s">
        <v>21</v>
      </c>
      <c r="C153" s="873" t="s">
        <v>634</v>
      </c>
      <c r="D153" s="645"/>
      <c r="E153" s="645">
        <v>27</v>
      </c>
      <c r="F153" s="644">
        <v>1980</v>
      </c>
      <c r="G153" s="644">
        <v>130</v>
      </c>
      <c r="H153" s="644"/>
      <c r="I153" s="635"/>
      <c r="J153" s="644">
        <f>IF(F153&lt;=1966,'Założenia,wskaźniki, listy'!$H$4,IF(F153&gt;1966,IF(F153&lt;=1985,'Założenia,wskaźniki, listy'!$H$5,IF(F153&gt;1985,IF(F153&lt;=1992,'Założenia,wskaźniki, listy'!$H$6,IF(F153&gt;1992,IF(F153&lt;=1996,'Założenia,wskaźniki, listy'!$H$7,IF(F153&gt;1996,IF(F153&lt;=2015,'Założenia,wskaźniki, listy'!$H$8)))))))))</f>
        <v>250</v>
      </c>
      <c r="K153" s="864" t="s">
        <v>31</v>
      </c>
      <c r="L153" s="644" t="s">
        <v>8</v>
      </c>
      <c r="M153" s="635">
        <v>4</v>
      </c>
      <c r="N153" s="644"/>
      <c r="O153" s="637">
        <f t="shared" si="240"/>
        <v>103.72</v>
      </c>
      <c r="P153" s="646">
        <f>IF(K153="kompletna",J153*G153*0.0036*'Założenia,wskaźniki, listy'!$P$9,IF(K153="częściowa",J153*G153*0.0036*'Założenia,wskaźniki, listy'!$P$10,IF(K153="brak",J153*G153*0.0036*'Założenia,wskaźniki, listy'!$P$11,0)))</f>
        <v>117</v>
      </c>
      <c r="Q153" s="638">
        <f>H153*'Założenia,wskaźniki, listy'!$L$15</f>
        <v>0</v>
      </c>
      <c r="R153" s="635">
        <f>IF(L153="węgiel",'Mieszkalne - baza'!M153*'Założenia,wskaźniki, listy'!$B$4,IF(L153="gaz",'Mieszkalne - baza'!M153*'Założenia,wskaźniki, listy'!$B$5,IF(L153="drewno",'Mieszkalne - baza'!M153*'Założenia,wskaźniki, listy'!$B$6,IF(L153="pelet",'Mieszkalne - baza'!M153*'Założenia,wskaźniki, listy'!$B$7,IF(L153="olej opałowy",'Mieszkalne - baza'!M153*'Założenia,wskaźniki, listy'!$B$8,IF(L153="sieć ciepłownicza",0,0))))))</f>
        <v>90.44</v>
      </c>
      <c r="S153" s="1084">
        <v>1.6919999999999999</v>
      </c>
      <c r="T153" s="639">
        <f>IF(L153="węgiel",R153*'Założenia,wskaźniki, listy'!$C$44,IF(L153="gaz",R153*'Założenia,wskaźniki, listy'!$D$44,IF(L153="drewno",R153*'Założenia,wskaźniki, listy'!$E$44,IF(L153="pelet",R153*'Założenia,wskaźniki, listy'!$F$44,IF(L153="olej opałowy",R153*'Założenia,wskaźniki, listy'!$G$44,IF(L153="sieć ciepłownicza",0,IF(L153="prąd",0,0)))))))</f>
        <v>2.0348999999999999E-2</v>
      </c>
      <c r="U153" s="639">
        <f>IF(L153="węgiel",R153*'Założenia,wskaźniki, listy'!$C$45,IF(L153="gaz",R153*'Założenia,wskaźniki, listy'!$D$45,IF(L153="drewno",R153*'Założenia,wskaźniki, listy'!$E$45,IF(L153="pelet",R153*'Założenia,wskaźniki, listy'!$F$45,IF(L153="olej opałowy",R153*'Założenia,wskaźniki, listy'!$G$45,IF(L153="sieć ciepłownicza",0,IF(L153="prąd",0,0)))))))</f>
        <v>1.8178440000000001E-2</v>
      </c>
      <c r="V153" s="639">
        <f>IF(L153="węgiel",R153*'Założenia,wskaźniki, listy'!$C$46,IF(L153="gaz",R153*'Założenia,wskaźniki, listy'!$D$46,IF(L153="drewno",R153*'Założenia,wskaźniki, listy'!$E$46,IF(L153="pelet",R153*'Założenia,wskaźniki, listy'!$F$46,IF(L153="olej opałowy",R153*'Założenia,wskaźniki, listy'!$G$46,IF(L153="sieć ciepłownicza",R153*'Założenia,wskaźniki, listy'!$H$46,IF(L153="prąd",R153*'Założenia,wskaźniki, listy'!$I$46,0)))))))</f>
        <v>8.4778455999999984</v>
      </c>
      <c r="W153" s="639">
        <f>IF(L153="węgiel",R153*'Założenia,wskaźniki, listy'!$C$47,IF(L153="gaz",R153*'Założenia,wskaźniki, listy'!$D$47,IF(L153="drewno",R153*'Założenia,wskaźniki, listy'!$E$47,IF(L153="pelet",R153*'Założenia,wskaźniki, listy'!$F$47,IF(L153="olej opałowy",R153*'Założenia,wskaźniki, listy'!$G$47,IF(L153="sieć ciepłownicza",0,IF(L153="prąd",0,0)))))))</f>
        <v>2.4418800000000001E-5</v>
      </c>
      <c r="X153" s="639">
        <f>IF(L153="węgiel",R153*'Założenia,wskaźniki, listy'!$C$48, IF(L153="gaz",R153*'Założenia,wskaźniki, listy'!$D$48,IF(L153="drewno",R153*'Założenia,wskaźniki, listy'!$E$48,IF(L153="pelet",R153*'Założenia,wskaźniki, listy'!$F$48,IF(L153="olej opałowy",R153*'Założenia,wskaźniki, listy'!$G$48,IF(L153="sieć ciepłownicza",0,IF(L153="prąd",0,0)))))))</f>
        <v>8.1395999999999996E-2</v>
      </c>
      <c r="Y153" s="639">
        <f>IF(L153="węgiel",R153*'Założenia,wskaźniki, listy'!$C$49, IF(L153="gaz",R153*'Założenia,wskaźniki, listy'!$D$49, IF(L153="drewno",R153*'Założenia,wskaźniki, listy'!$E$49,IF(L153="pelet",R153*'Założenia,wskaźniki, listy'!$F$49,IF(L153="olej opałowy",R153*'Założenia,wskaźniki, listy'!$G$49,IF(L153="sieć ciepłownicza",0,IF(L153="prąd",0,0)))))))</f>
        <v>1.4289519999999998E-2</v>
      </c>
      <c r="Z153" s="639">
        <f>IF(L153="węgiel",R153*'Założenia,wskaźniki, listy'!$C$50,IF(L153="gaz",R153*'Założenia,wskaźniki, listy'!$D$50, IF(L153="drewno",R153*'Założenia,wskaźniki, listy'!$E$50,IF(L153="pelet",R153*'Założenia,wskaźniki, listy'!$F$50,IF(L153="pelet",R153*'Założenia,wskaźniki, listy'!$F$50,IF(L153="olej opałowy",R153*'Założenia,wskaźniki, listy'!$G$50,IF(L153="sieć ciepłownicza",0,IF(L153="prąd",0,0))))))))</f>
        <v>0.18193115780062583</v>
      </c>
      <c r="AA153" s="639">
        <f>IF(N153="węgiel",Q153*'Założenia,wskaźniki, listy'!$C$44,IF(N153="gaz",Q153*'Założenia,wskaźniki, listy'!$D$44,IF(N153="drewno",Q153*'Założenia,wskaźniki, listy'!$E$44,IF(N153="pelet",Q153*'Założenia,wskaźniki, listy'!$G$44,IF(N153="olej opałowy",Q153*'Założenia,wskaźniki, listy'!$G$44,IF(N153="sieć ciepłownicza",0,IF(N153="prąd",0,0)))))))</f>
        <v>0</v>
      </c>
      <c r="AB153" s="639">
        <f>IF(N153="węgiel",Q153*'Założenia,wskaźniki, listy'!$C$45,IF(N153="gaz",Q153*'Założenia,wskaźniki, listy'!$D$45,IF(N153="drewno",Q153*'Założenia,wskaźniki, listy'!$E$45,IF(N153="pelet",Q153*'Założenia,wskaźniki, listy'!$G$45,IF(N153="olej opałowy",Q153*'Założenia,wskaźniki, listy'!$G$45,IF(N153="sieć ciepłownicza",0,IF(N153="prąd",0,0)))))))</f>
        <v>0</v>
      </c>
      <c r="AC153" s="639">
        <f>IF(N153="węgiel",Q153*'Założenia,wskaźniki, listy'!$C$46,IF(N153="gaz",Q153*'Założenia,wskaźniki, listy'!$D$46,IF(N153="drewno",Q153*'Założenia,wskaźniki, listy'!$E$46,IF(N153="pelet",Q153*'Założenia,wskaźniki, listy'!$G$46,IF(N153="olej opałowy",Q153*'Założenia,wskaźniki, listy'!$G$46,IF(N153="sieć ciepłownicza",0,IF(N153="prąd",0,0)))))))</f>
        <v>0</v>
      </c>
      <c r="AD153" s="639">
        <f>IF(N153="węgiel",Q153*'Założenia,wskaźniki, listy'!$C$47,IF(N153="gaz",Q153*'Założenia,wskaźniki, listy'!$D$47,IF(N153="drewno",Q153*'Założenia,wskaźniki, listy'!$E$47,IF(N153="pelet",Q153*'Założenia,wskaźniki, listy'!$G$47,IF(N153="olej opałowy",Q153*'Założenia,wskaźniki, listy'!$G$47,IF(N153="sieć ciepłownicza",0,IF(N153="prąd",0,0)))))))</f>
        <v>0</v>
      </c>
      <c r="AE153" s="639">
        <f>IF(N153="węgiel",Q153*'Założenia,wskaźniki, listy'!$C$48,IF(N153="gaz",Q153*'Założenia,wskaźniki, listy'!$D$48,IF(N153="drewno",Q153*'Założenia,wskaźniki, listy'!$E$48,IF(N153="pelet",Q153*'Założenia,wskaźniki, listy'!$G$48,IF(N153="olej opałowy",Q153*'Założenia,wskaźniki, listy'!$G$48,IF(N153="sieć ciepłownicza",0,IF(N153="prąd",0,0)))))))</f>
        <v>0</v>
      </c>
      <c r="AF153" s="639">
        <f>IF(N153="węgiel",Q153*'Założenia,wskaźniki, listy'!$C$49,IF(N153="gaz",Q153*'Założenia,wskaźniki, listy'!$D$49,IF(N153="drewno",Q153*'Założenia,wskaźniki, listy'!$E$49,IF(N153="pelet",Q153*'Założenia,wskaźniki, listy'!$G$49,IF(N153="olej opałowy",Q153*'Założenia,wskaźniki, listy'!$G$49,IF(N153="sieć ciepłownicza",0,IF(N153="prąd",0,0)))))))</f>
        <v>0</v>
      </c>
      <c r="AG153" s="639">
        <f>IF(N153="węgiel",Q153*'Założenia,wskaźniki, listy'!$C$50,IF(N153="gaz",Q153*'Założenia,wskaźniki, listy'!$D$50,IF(N153="drewno",Q153*'Założenia,wskaźniki, listy'!$E$50,IF(N153="pelet",Q153*'Założenia,wskaźniki, listy'!$G$50,IF(N153="olej opałowy",Q153*'Założenia,wskaźniki, listy'!$G$50,IF(N153="sieć ciepłownicza",0,IF(N153="prąd",0,0)))))))</f>
        <v>0</v>
      </c>
      <c r="AH153" s="640">
        <f>IF(L153="węgiel",(P153+R153)/2*'Założenia,wskaźniki, listy'!$C$4,IF(L153="gaz",(P153+R153)/2*'Założenia,wskaźniki, listy'!$C$5,IF(L153="drewno",(P153+R153)/2*'Założenia,wskaźniki, listy'!$C$6,IF(L153="pelet",(P153+R153)/2*'Założenia,wskaźniki, listy'!$C$7,IF(L153="olej opałowy",(P153+R153)/2*'Założenia,wskaźniki, listy'!$C$8,IF(L153="sieć ciepłownicza",(P153+R153)/2*'Założenia,wskaźniki, listy'!$C$9,IF(L153="sieć ciepłownicza",(P153+R153)/2*'Założenia,wskaźniki, listy'!$C$10,)))))))</f>
        <v>4252.5199999999995</v>
      </c>
      <c r="AI153" s="640">
        <f>IF(N153="węgiel",Q153*'Założenia,wskaźniki, listy'!$C$4,IF(N153="gaz",Q153*'Założenia,wskaźniki, listy'!$C$5,IF(N153="drewno",Q153*'Założenia,wskaźniki, listy'!$C$6,IF(N153="pelet",Q153*'Założenia,wskaźniki, listy'!$C$7,IF(N153="olej opałowy",Q153*'Założenia,wskaźniki, listy'!$C$8,IF(N153="sieć ciepłownicza",Q153*'Założenia,wskaźniki, listy'!$C$9,IF(N153="sieć ciepłownicza",Q153*'Założenia,wskaźniki, listy'!$C$10,0)))))))</f>
        <v>0</v>
      </c>
      <c r="AJ153" s="640">
        <f>S153*'Założenia,wskaźniki, listy'!$B$64*1000</f>
        <v>1201.32</v>
      </c>
      <c r="AK153" s="640">
        <f>(H153+I153)*'Założenia,wskaźniki, listy'!$D$64*12</f>
        <v>0</v>
      </c>
      <c r="AL153" s="640">
        <f>AK153*'Założenia,wskaźniki, listy'!$F$64</f>
        <v>0</v>
      </c>
      <c r="AM153" s="639">
        <f t="shared" si="206"/>
        <v>2.0348999999999999E-2</v>
      </c>
      <c r="AN153" s="639">
        <f t="shared" si="207"/>
        <v>1.8178440000000001E-2</v>
      </c>
      <c r="AO153" s="639">
        <f>V153+AC153+S153*'Założenia,wskaźniki, listy'!$J$46</f>
        <v>9.8847435999999984</v>
      </c>
      <c r="AP153" s="639">
        <f t="shared" si="208"/>
        <v>2.4418800000000001E-5</v>
      </c>
      <c r="AQ153" s="639">
        <f t="shared" si="209"/>
        <v>8.1395999999999996E-2</v>
      </c>
      <c r="AR153" s="639">
        <f t="shared" si="210"/>
        <v>1.4289519999999998E-2</v>
      </c>
      <c r="AS153" s="639">
        <f t="shared" si="211"/>
        <v>0.18193115780062583</v>
      </c>
      <c r="AT153" s="647"/>
      <c r="AU153" s="647"/>
      <c r="AV153" s="624" t="b">
        <f t="shared" si="241"/>
        <v>0</v>
      </c>
      <c r="AW153" s="624" t="b">
        <f t="shared" si="242"/>
        <v>0</v>
      </c>
      <c r="AX153" s="624">
        <f t="shared" si="243"/>
        <v>130</v>
      </c>
      <c r="AY153" s="624" t="b">
        <f t="shared" si="244"/>
        <v>0</v>
      </c>
      <c r="AZ153" s="624" t="b">
        <f t="shared" si="245"/>
        <v>0</v>
      </c>
      <c r="BA153" s="624" t="b">
        <f t="shared" si="246"/>
        <v>0</v>
      </c>
      <c r="BB153" s="624" t="b">
        <f t="shared" si="247"/>
        <v>0</v>
      </c>
      <c r="BC153" s="624" t="b">
        <f t="shared" si="248"/>
        <v>0</v>
      </c>
      <c r="BD153" s="624" t="b">
        <f t="shared" si="249"/>
        <v>0</v>
      </c>
      <c r="BE153" s="624" t="b">
        <f t="shared" si="250"/>
        <v>0</v>
      </c>
      <c r="BF153" s="624">
        <f t="shared" si="251"/>
        <v>90.44</v>
      </c>
      <c r="BG153" s="624" t="b">
        <f t="shared" si="252"/>
        <v>0</v>
      </c>
      <c r="BH153" s="624" t="b">
        <f t="shared" si="253"/>
        <v>0</v>
      </c>
      <c r="BI153" s="624" t="b">
        <f t="shared" si="254"/>
        <v>0</v>
      </c>
      <c r="BJ153" s="624" t="b">
        <f t="shared" si="255"/>
        <v>0</v>
      </c>
      <c r="BK153" s="624" t="b">
        <f t="shared" si="256"/>
        <v>0</v>
      </c>
      <c r="BL153" s="624" t="b">
        <f t="shared" si="257"/>
        <v>0</v>
      </c>
      <c r="BM153" s="624" t="b">
        <f t="shared" si="258"/>
        <v>0</v>
      </c>
      <c r="BN153" s="624" t="b">
        <f t="shared" si="259"/>
        <v>0</v>
      </c>
      <c r="BO153" s="624" t="b">
        <f t="shared" si="260"/>
        <v>0</v>
      </c>
      <c r="BP153" s="624" t="b">
        <f t="shared" si="261"/>
        <v>0</v>
      </c>
      <c r="BQ153" s="624" t="b">
        <f t="shared" si="262"/>
        <v>0</v>
      </c>
    </row>
    <row r="154" spans="1:69" ht="8.25" customHeight="1">
      <c r="A154" s="1087"/>
      <c r="B154" s="872"/>
      <c r="C154" s="872"/>
      <c r="D154" s="645"/>
      <c r="E154" s="645"/>
      <c r="F154" s="644"/>
      <c r="G154" s="644"/>
      <c r="H154" s="644"/>
      <c r="I154" s="635"/>
      <c r="J154" s="644">
        <f>IF(F154&lt;=1966,'Założenia,wskaźniki, listy'!$H$4,IF(F154&gt;1966,IF(F154&lt;=1985,'Założenia,wskaźniki, listy'!$H$5,IF(F154&gt;1985,IF(F154&lt;=1992,'Założenia,wskaźniki, listy'!$H$6,IF(F154&gt;1992,IF(F154&lt;=1996,'Założenia,wskaźniki, listy'!$H$7,IF(F154&gt;1996,IF(F154&lt;=2015,'Założenia,wskaźniki, listy'!$H$8)))))))))</f>
        <v>290</v>
      </c>
      <c r="K154" s="864"/>
      <c r="L154" s="644" t="s">
        <v>79</v>
      </c>
      <c r="M154" s="644">
        <v>1</v>
      </c>
      <c r="N154" s="644"/>
      <c r="O154" s="637">
        <f t="shared" si="240"/>
        <v>15</v>
      </c>
      <c r="P154" s="646">
        <f>IF(K154="kompletna",J154*G154*0.0036*'Założenia,wskaźniki, listy'!$P$9,IF(K154="częściowa",J154*G154*0.0036*'Założenia,wskaźniki, listy'!$P$10,IF(K154="brak",J154*G154*0.0036*'Założenia,wskaźniki, listy'!$P$11,0)))</f>
        <v>0</v>
      </c>
      <c r="Q154" s="638">
        <f>H154*'Założenia,wskaźniki, listy'!$L$15</f>
        <v>0</v>
      </c>
      <c r="R154" s="635">
        <f>IF(L154="węgiel",'Mieszkalne - baza'!M154*'Założenia,wskaźniki, listy'!$B$4,IF(L154="gaz",'Mieszkalne - baza'!M154*'Założenia,wskaźniki, listy'!$B$5,IF(L154="drewno",'Mieszkalne - baza'!M154*'Założenia,wskaźniki, listy'!$B$6,IF(L154="pelet",'Mieszkalne - baza'!M154*'Założenia,wskaźniki, listy'!$B$7,IF(L154="olej opałowy",'Mieszkalne - baza'!M154*'Założenia,wskaźniki, listy'!$B$8,IF(L154="sieć ciepłownicza",0,0))))))</f>
        <v>15</v>
      </c>
      <c r="S154" s="1085"/>
      <c r="T154" s="639">
        <f>IF(L154="węgiel",R154*'Założenia,wskaźniki, listy'!$C$44,IF(L154="gaz",R154*'Założenia,wskaźniki, listy'!$D$44,IF(L154="drewno",R154*'Założenia,wskaźniki, listy'!$E$44,IF(L154="pelet",R154*'Założenia,wskaźniki, listy'!$F$44,IF(L154="olej opałowy",R154*'Założenia,wskaźniki, listy'!$G$44,IF(L154="sieć ciepłownicza",0,IF(L154="prąd",0,0)))))))</f>
        <v>7.1999999999999998E-3</v>
      </c>
      <c r="U154" s="639">
        <f>IF(L154="węgiel",R154*'Założenia,wskaźniki, listy'!$C$45,IF(L154="gaz",R154*'Założenia,wskaźniki, listy'!$D$45,IF(L154="drewno",R154*'Założenia,wskaźniki, listy'!$E$45,IF(L154="pelet",R154*'Założenia,wskaźniki, listy'!$F$45,IF(L154="olej opałowy",R154*'Założenia,wskaźniki, listy'!$G$45,IF(L154="sieć ciepłownicza",0,IF(L154="prąd",0,0)))))))</f>
        <v>7.0499999999999998E-3</v>
      </c>
      <c r="V154" s="639">
        <f>IF(L154="węgiel",R154*'Założenia,wskaźniki, listy'!$C$46,IF(L154="gaz",R154*'Założenia,wskaźniki, listy'!$D$46,IF(L154="drewno",R154*'Założenia,wskaźniki, listy'!$E$46,IF(L154="pelet",R154*'Założenia,wskaźniki, listy'!$F$46,IF(L154="olej opałowy",R154*'Założenia,wskaźniki, listy'!$G$46,IF(L154="sieć ciepłownicza",R154*'Założenia,wskaźniki, listy'!$H$46,IF(L154="prąd",R154*'Założenia,wskaźniki, listy'!$I$46,0)))))))</f>
        <v>0</v>
      </c>
      <c r="W154" s="639">
        <f>IF(L154="węgiel",R154*'Założenia,wskaźniki, listy'!$C$47,IF(L154="gaz",R154*'Założenia,wskaźniki, listy'!$D$47,IF(L154="drewno",R154*'Założenia,wskaźniki, listy'!$E$47,IF(L154="pelet",R154*'Założenia,wskaźniki, listy'!$F$47,IF(L154="olej opałowy",R154*'Założenia,wskaźniki, listy'!$G$47,IF(L154="sieć ciepłownicza",0,IF(L154="prąd",0,0)))))))</f>
        <v>1.8150000000000002E-6</v>
      </c>
      <c r="X154" s="639">
        <f>IF(L154="węgiel",R154*'Założenia,wskaźniki, listy'!$C$48, IF(L154="gaz",R154*'Założenia,wskaźniki, listy'!$D$48,IF(L154="drewno",R154*'Założenia,wskaźniki, listy'!$E$48,IF(L154="pelet",R154*'Założenia,wskaźniki, listy'!$F$48,IF(L154="olej opałowy",R154*'Założenia,wskaźniki, listy'!$G$48,IF(L154="sieć ciepłownicza",0,IF(L154="prąd",0,0)))))))</f>
        <v>1.65E-4</v>
      </c>
      <c r="Y154" s="639">
        <f>IF(L154="węgiel",R154*'Założenia,wskaźniki, listy'!$C$49, IF(L154="gaz",R154*'Założenia,wskaźniki, listy'!$D$49, IF(L154="drewno",R154*'Założenia,wskaźniki, listy'!$E$49,IF(L154="pelet",R154*'Założenia,wskaźniki, listy'!$F$49,IF(L154="olej opałowy",R154*'Założenia,wskaźniki, listy'!$G$49,IF(L154="sieć ciepłownicza",0,IF(L154="prąd",0,0)))))))</f>
        <v>1.2000000000000001E-3</v>
      </c>
      <c r="Z154" s="639">
        <f>IF(L154="węgiel",R154*'Założenia,wskaźniki, listy'!$C$50,IF(L154="gaz",R154*'Założenia,wskaźniki, listy'!$D$50, IF(L154="drewno",R154*'Założenia,wskaźniki, listy'!$E$50,IF(L154="pelet",R154*'Założenia,wskaźniki, listy'!$F$50,IF(L154="pelet",R154*'Założenia,wskaźniki, listy'!$F$50,IF(L154="olej opałowy",R154*'Założenia,wskaźniki, listy'!$G$50,IF(L154="sieć ciepłownicza",0,IF(L154="prąd",0,0))))))))</f>
        <v>2.6909999999999998E-3</v>
      </c>
      <c r="AA154" s="639">
        <f>IF(N154="węgiel",Q154*'Założenia,wskaźniki, listy'!$C$44,IF(N154="gaz",Q154*'Założenia,wskaźniki, listy'!$D$44,IF(N154="drewno",Q154*'Założenia,wskaźniki, listy'!$E$44,IF(N154="pelet",Q154*'Założenia,wskaźniki, listy'!$G$44,IF(N154="olej opałowy",Q154*'Założenia,wskaźniki, listy'!$G$44,IF(N154="sieć ciepłownicza",0,IF(N154="prąd",0,0)))))))</f>
        <v>0</v>
      </c>
      <c r="AB154" s="639">
        <f>IF(N154="węgiel",Q154*'Założenia,wskaźniki, listy'!$C$45,IF(N154="gaz",Q154*'Założenia,wskaźniki, listy'!$D$45,IF(N154="drewno",Q154*'Założenia,wskaźniki, listy'!$E$45,IF(N154="pelet",Q154*'Założenia,wskaźniki, listy'!$G$45,IF(N154="olej opałowy",Q154*'Założenia,wskaźniki, listy'!$G$45,IF(N154="sieć ciepłownicza",0,IF(N154="prąd",0,0)))))))</f>
        <v>0</v>
      </c>
      <c r="AC154" s="639">
        <f>IF(N154="węgiel",Q154*'Założenia,wskaźniki, listy'!$C$46,IF(N154="gaz",Q154*'Założenia,wskaźniki, listy'!$D$46,IF(N154="drewno",Q154*'Założenia,wskaźniki, listy'!$E$46,IF(N154="pelet",Q154*'Założenia,wskaźniki, listy'!$G$46,IF(N154="olej opałowy",Q154*'Założenia,wskaźniki, listy'!$G$46,IF(N154="sieć ciepłownicza",0,IF(N154="prąd",0,0)))))))</f>
        <v>0</v>
      </c>
      <c r="AD154" s="639">
        <f>IF(N154="węgiel",Q154*'Założenia,wskaźniki, listy'!$C$47,IF(N154="gaz",Q154*'Założenia,wskaźniki, listy'!$D$47,IF(N154="drewno",Q154*'Założenia,wskaźniki, listy'!$E$47,IF(N154="pelet",Q154*'Założenia,wskaźniki, listy'!$G$47,IF(N154="olej opałowy",Q154*'Założenia,wskaźniki, listy'!$G$47,IF(N154="sieć ciepłownicza",0,IF(N154="prąd",0,0)))))))</f>
        <v>0</v>
      </c>
      <c r="AE154" s="639">
        <f>IF(N154="węgiel",Q154*'Założenia,wskaźniki, listy'!$C$48,IF(N154="gaz",Q154*'Założenia,wskaźniki, listy'!$D$48,IF(N154="drewno",Q154*'Założenia,wskaźniki, listy'!$E$48,IF(N154="pelet",Q154*'Założenia,wskaźniki, listy'!$G$48,IF(N154="olej opałowy",Q154*'Założenia,wskaźniki, listy'!$G$48,IF(N154="sieć ciepłownicza",0,IF(N154="prąd",0,0)))))))</f>
        <v>0</v>
      </c>
      <c r="AF154" s="639">
        <f>IF(N154="węgiel",Q154*'Założenia,wskaźniki, listy'!$C$49,IF(N154="gaz",Q154*'Założenia,wskaźniki, listy'!$D$49,IF(N154="drewno",Q154*'Założenia,wskaźniki, listy'!$E$49,IF(N154="pelet",Q154*'Założenia,wskaźniki, listy'!$G$49,IF(N154="olej opałowy",Q154*'Założenia,wskaźniki, listy'!$G$49,IF(N154="sieć ciepłownicza",0,IF(N154="prąd",0,0)))))))</f>
        <v>0</v>
      </c>
      <c r="AG154" s="639">
        <f>IF(N154="węgiel",Q154*'Założenia,wskaźniki, listy'!$C$50,IF(N154="gaz",Q154*'Założenia,wskaźniki, listy'!$D$50,IF(N154="drewno",Q154*'Założenia,wskaźniki, listy'!$E$50,IF(N154="pelet",Q154*'Założenia,wskaźniki, listy'!$G$50,IF(N154="olej opałowy",Q154*'Założenia,wskaźniki, listy'!$G$50,IF(N154="sieć ciepłownicza",0,IF(N154="prąd",0,0)))))))</f>
        <v>0</v>
      </c>
      <c r="AH154" s="640">
        <f>IF(L154="węgiel",(P154+R154)/2*'Założenia,wskaźniki, listy'!$C$4,IF(L154="gaz",(P154+R154)/2*'Założenia,wskaźniki, listy'!$C$5,IF(L154="drewno",(P154+R154)/2*'Założenia,wskaźniki, listy'!$C$6,IF(L154="pelet",(P154+R154)/2*'Założenia,wskaźniki, listy'!$C$7,IF(L154="olej opałowy",(P154+R154)/2*'Założenia,wskaźniki, listy'!$C$8,IF(L154="sieć ciepłownicza",(P154+R154)/2*'Założenia,wskaźniki, listy'!$C$9,IF(L154="sieć ciepłownicza",(P154+R154)/2*'Założenia,wskaźniki, listy'!$C$10,)))))))</f>
        <v>285</v>
      </c>
      <c r="AI154" s="640">
        <f>IF(N154="węgiel",Q154*'Założenia,wskaźniki, listy'!$C$4,IF(N154="gaz",Q154*'Założenia,wskaźniki, listy'!$C$5,IF(N154="drewno",Q154*'Założenia,wskaźniki, listy'!$C$6,IF(N154="pelet",Q154*'Założenia,wskaźniki, listy'!$C$7,IF(N154="olej opałowy",Q154*'Założenia,wskaźniki, listy'!$C$8,IF(N154="sieć ciepłownicza",Q154*'Założenia,wskaźniki, listy'!$C$9,IF(N154="sieć ciepłownicza",Q154*'Założenia,wskaźniki, listy'!$C$10,0)))))))</f>
        <v>0</v>
      </c>
      <c r="AJ154" s="640">
        <f>S154*'Założenia,wskaźniki, listy'!$B$64*1000</f>
        <v>0</v>
      </c>
      <c r="AK154" s="640">
        <f>(H154+I154)*'Założenia,wskaźniki, listy'!$D$64*12</f>
        <v>0</v>
      </c>
      <c r="AL154" s="640">
        <f>AK154*'Założenia,wskaźniki, listy'!$F$64</f>
        <v>0</v>
      </c>
      <c r="AM154" s="639">
        <f t="shared" si="206"/>
        <v>7.1999999999999998E-3</v>
      </c>
      <c r="AN154" s="639">
        <f t="shared" si="207"/>
        <v>7.0499999999999998E-3</v>
      </c>
      <c r="AO154" s="639">
        <f>V154+AC154+S154*'Założenia,wskaźniki, listy'!$J$46</f>
        <v>0</v>
      </c>
      <c r="AP154" s="639">
        <f t="shared" si="208"/>
        <v>1.8150000000000002E-6</v>
      </c>
      <c r="AQ154" s="639">
        <f t="shared" si="209"/>
        <v>1.65E-4</v>
      </c>
      <c r="AR154" s="639">
        <f t="shared" si="210"/>
        <v>1.2000000000000001E-3</v>
      </c>
      <c r="AS154" s="639">
        <f t="shared" si="211"/>
        <v>2.6909999999999998E-3</v>
      </c>
      <c r="AT154" s="647"/>
      <c r="AU154" s="647"/>
      <c r="AV154" s="624">
        <f t="shared" si="241"/>
        <v>0</v>
      </c>
      <c r="AW154" s="624" t="b">
        <f t="shared" si="242"/>
        <v>0</v>
      </c>
      <c r="AX154" s="624" t="b">
        <f t="shared" si="243"/>
        <v>0</v>
      </c>
      <c r="AY154" s="624" t="b">
        <f t="shared" si="244"/>
        <v>0</v>
      </c>
      <c r="AZ154" s="624" t="b">
        <f t="shared" si="245"/>
        <v>0</v>
      </c>
      <c r="BA154" s="624" t="b">
        <f t="shared" si="246"/>
        <v>0</v>
      </c>
      <c r="BB154" s="624" t="b">
        <f t="shared" si="247"/>
        <v>0</v>
      </c>
      <c r="BC154" s="624" t="b">
        <f t="shared" si="248"/>
        <v>0</v>
      </c>
      <c r="BD154" s="624" t="b">
        <f t="shared" si="249"/>
        <v>0</v>
      </c>
      <c r="BE154" s="624" t="b">
        <f t="shared" si="250"/>
        <v>0</v>
      </c>
      <c r="BF154" s="624" t="b">
        <f t="shared" si="251"/>
        <v>0</v>
      </c>
      <c r="BG154" s="624" t="b">
        <f t="shared" si="252"/>
        <v>0</v>
      </c>
      <c r="BH154" s="624">
        <f t="shared" si="253"/>
        <v>15</v>
      </c>
      <c r="BI154" s="624" t="b">
        <f t="shared" si="254"/>
        <v>0</v>
      </c>
      <c r="BJ154" s="624" t="b">
        <f t="shared" si="255"/>
        <v>0</v>
      </c>
      <c r="BK154" s="624" t="b">
        <f t="shared" si="256"/>
        <v>0</v>
      </c>
      <c r="BL154" s="624" t="b">
        <f t="shared" si="257"/>
        <v>0</v>
      </c>
      <c r="BM154" s="624" t="b">
        <f t="shared" si="258"/>
        <v>0</v>
      </c>
      <c r="BN154" s="624" t="b">
        <f t="shared" si="259"/>
        <v>0</v>
      </c>
      <c r="BO154" s="624" t="b">
        <f t="shared" si="260"/>
        <v>0</v>
      </c>
      <c r="BP154" s="624" t="b">
        <f t="shared" si="261"/>
        <v>0</v>
      </c>
      <c r="BQ154" s="624" t="b">
        <f t="shared" si="262"/>
        <v>0</v>
      </c>
    </row>
    <row r="155" spans="1:69" ht="8.25" customHeight="1">
      <c r="A155" s="1086">
        <v>76</v>
      </c>
      <c r="B155" s="872" t="s">
        <v>21</v>
      </c>
      <c r="C155" s="873" t="s">
        <v>634</v>
      </c>
      <c r="D155" s="645"/>
      <c r="E155" s="645">
        <v>28</v>
      </c>
      <c r="F155" s="644">
        <v>1970</v>
      </c>
      <c r="G155" s="635">
        <v>60</v>
      </c>
      <c r="H155" s="644"/>
      <c r="I155" s="635"/>
      <c r="J155" s="644">
        <f>IF(F155&lt;=1966,'Założenia,wskaźniki, listy'!$H$4,IF(F155&gt;1966,IF(F155&lt;=1985,'Założenia,wskaźniki, listy'!$H$5,IF(F155&gt;1985,IF(F155&lt;=1992,'Założenia,wskaźniki, listy'!$H$6,IF(F155&gt;1992,IF(F155&lt;=1996,'Założenia,wskaźniki, listy'!$H$7,IF(F155&gt;1996,IF(F155&lt;=2015,'Założenia,wskaźniki, listy'!$H$8)))))))))</f>
        <v>250</v>
      </c>
      <c r="K155" s="864" t="s">
        <v>32</v>
      </c>
      <c r="L155" s="644" t="s">
        <v>8</v>
      </c>
      <c r="M155" s="644">
        <v>2</v>
      </c>
      <c r="N155" s="644"/>
      <c r="O155" s="637">
        <f t="shared" si="240"/>
        <v>38.81</v>
      </c>
      <c r="P155" s="646">
        <f>IF(K155="kompletna",J155*G155*0.0036*'Założenia,wskaźniki, listy'!$P$9,IF(K155="częściowa",J155*G155*0.0036*'Założenia,wskaźniki, listy'!$P$10,IF(K155="brak",J155*G155*0.0036*'Założenia,wskaźniki, listy'!$P$11,0)))</f>
        <v>32.4</v>
      </c>
      <c r="Q155" s="638">
        <f>H155*'Założenia,wskaźniki, listy'!$L$15</f>
        <v>0</v>
      </c>
      <c r="R155" s="635">
        <f>IF(L155="węgiel",'Mieszkalne - baza'!M155*'Założenia,wskaźniki, listy'!$B$4,IF(L155="gaz",'Mieszkalne - baza'!M155*'Założenia,wskaźniki, listy'!$B$5,IF(L155="drewno",'Mieszkalne - baza'!M155*'Założenia,wskaźniki, listy'!$B$6,IF(L155="pelet",'Mieszkalne - baza'!M155*'Założenia,wskaźniki, listy'!$B$7,IF(L155="olej opałowy",'Mieszkalne - baza'!M155*'Założenia,wskaźniki, listy'!$B$8,IF(L155="sieć ciepłownicza",0,0))))))</f>
        <v>45.22</v>
      </c>
      <c r="S155" s="1084">
        <v>1.8048000000000002</v>
      </c>
      <c r="T155" s="639">
        <f>IF(L155="węgiel",R155*'Założenia,wskaźniki, listy'!$C$44,IF(L155="gaz",R155*'Założenia,wskaźniki, listy'!$D$44,IF(L155="drewno",R155*'Założenia,wskaźniki, listy'!$E$44,IF(L155="pelet",R155*'Założenia,wskaźniki, listy'!$F$44,IF(L155="olej opałowy",R155*'Założenia,wskaźniki, listy'!$G$44,IF(L155="sieć ciepłownicza",0,IF(L155="prąd",0,0)))))))</f>
        <v>1.01745E-2</v>
      </c>
      <c r="U155" s="639">
        <f>IF(L155="węgiel",R155*'Założenia,wskaźniki, listy'!$C$45,IF(L155="gaz",R155*'Założenia,wskaźniki, listy'!$D$45,IF(L155="drewno",R155*'Założenia,wskaźniki, listy'!$E$45,IF(L155="pelet",R155*'Założenia,wskaźniki, listy'!$F$45,IF(L155="olej opałowy",R155*'Założenia,wskaźniki, listy'!$G$45,IF(L155="sieć ciepłownicza",0,IF(L155="prąd",0,0)))))))</f>
        <v>9.0892200000000003E-3</v>
      </c>
      <c r="V155" s="639">
        <f>IF(L155="węgiel",R155*'Założenia,wskaźniki, listy'!$C$46,IF(L155="gaz",R155*'Założenia,wskaźniki, listy'!$D$46,IF(L155="drewno",R155*'Założenia,wskaźniki, listy'!$E$46,IF(L155="pelet",R155*'Założenia,wskaźniki, listy'!$F$46,IF(L155="olej opałowy",R155*'Założenia,wskaźniki, listy'!$G$46,IF(L155="sieć ciepłownicza",R155*'Założenia,wskaźniki, listy'!$H$46,IF(L155="prąd",R155*'Założenia,wskaźniki, listy'!$I$46,0)))))))</f>
        <v>4.2389227999999992</v>
      </c>
      <c r="W155" s="639">
        <f>IF(L155="węgiel",R155*'Założenia,wskaźniki, listy'!$C$47,IF(L155="gaz",R155*'Założenia,wskaźniki, listy'!$D$47,IF(L155="drewno",R155*'Założenia,wskaźniki, listy'!$E$47,IF(L155="pelet",R155*'Założenia,wskaźniki, listy'!$F$47,IF(L155="olej opałowy",R155*'Założenia,wskaźniki, listy'!$G$47,IF(L155="sieć ciepłownicza",0,IF(L155="prąd",0,0)))))))</f>
        <v>1.22094E-5</v>
      </c>
      <c r="X155" s="639">
        <f>IF(L155="węgiel",R155*'Założenia,wskaźniki, listy'!$C$48, IF(L155="gaz",R155*'Założenia,wskaźniki, listy'!$D$48,IF(L155="drewno",R155*'Założenia,wskaźniki, listy'!$E$48,IF(L155="pelet",R155*'Założenia,wskaźniki, listy'!$F$48,IF(L155="olej opałowy",R155*'Założenia,wskaźniki, listy'!$G$48,IF(L155="sieć ciepłownicza",0,IF(L155="prąd",0,0)))))))</f>
        <v>4.0697999999999998E-2</v>
      </c>
      <c r="Y155" s="639">
        <f>IF(L155="węgiel",R155*'Założenia,wskaźniki, listy'!$C$49, IF(L155="gaz",R155*'Założenia,wskaźniki, listy'!$D$49, IF(L155="drewno",R155*'Założenia,wskaźniki, listy'!$E$49,IF(L155="pelet",R155*'Założenia,wskaźniki, listy'!$F$49,IF(L155="olej opałowy",R155*'Założenia,wskaźniki, listy'!$G$49,IF(L155="sieć ciepłownicza",0,IF(L155="prąd",0,0)))))))</f>
        <v>7.1447599999999991E-3</v>
      </c>
      <c r="Z155" s="639">
        <f>IF(L155="węgiel",R155*'Założenia,wskaźniki, listy'!$C$50,IF(L155="gaz",R155*'Założenia,wskaźniki, listy'!$D$50, IF(L155="drewno",R155*'Założenia,wskaźniki, listy'!$E$50,IF(L155="pelet",R155*'Założenia,wskaźniki, listy'!$F$50,IF(L155="pelet",R155*'Założenia,wskaźniki, listy'!$F$50,IF(L155="olej opałowy",R155*'Założenia,wskaźniki, listy'!$G$50,IF(L155="sieć ciepłownicza",0,IF(L155="prąd",0,0))))))))</f>
        <v>9.0965578900312913E-2</v>
      </c>
      <c r="AA155" s="639">
        <f>IF(N155="węgiel",Q155*'Założenia,wskaźniki, listy'!$C$44,IF(N155="gaz",Q155*'Założenia,wskaźniki, listy'!$D$44,IF(N155="drewno",Q155*'Założenia,wskaźniki, listy'!$E$44,IF(N155="pelet",Q155*'Założenia,wskaźniki, listy'!$G$44,IF(N155="olej opałowy",Q155*'Założenia,wskaźniki, listy'!$G$44,IF(N155="sieć ciepłownicza",0,IF(N155="prąd",0,0)))))))</f>
        <v>0</v>
      </c>
      <c r="AB155" s="639">
        <f>IF(N155="węgiel",Q155*'Założenia,wskaźniki, listy'!$C$45,IF(N155="gaz",Q155*'Założenia,wskaźniki, listy'!$D$45,IF(N155="drewno",Q155*'Założenia,wskaźniki, listy'!$E$45,IF(N155="pelet",Q155*'Założenia,wskaźniki, listy'!$G$45,IF(N155="olej opałowy",Q155*'Założenia,wskaźniki, listy'!$G$45,IF(N155="sieć ciepłownicza",0,IF(N155="prąd",0,0)))))))</f>
        <v>0</v>
      </c>
      <c r="AC155" s="639">
        <f>IF(N155="węgiel",Q155*'Założenia,wskaźniki, listy'!$C$46,IF(N155="gaz",Q155*'Założenia,wskaźniki, listy'!$D$46,IF(N155="drewno",Q155*'Założenia,wskaźniki, listy'!$E$46,IF(N155="pelet",Q155*'Założenia,wskaźniki, listy'!$G$46,IF(N155="olej opałowy",Q155*'Założenia,wskaźniki, listy'!$G$46,IF(N155="sieć ciepłownicza",0,IF(N155="prąd",0,0)))))))</f>
        <v>0</v>
      </c>
      <c r="AD155" s="639">
        <f>IF(N155="węgiel",Q155*'Założenia,wskaźniki, listy'!$C$47,IF(N155="gaz",Q155*'Założenia,wskaźniki, listy'!$D$47,IF(N155="drewno",Q155*'Założenia,wskaźniki, listy'!$E$47,IF(N155="pelet",Q155*'Założenia,wskaźniki, listy'!$G$47,IF(N155="olej opałowy",Q155*'Założenia,wskaźniki, listy'!$G$47,IF(N155="sieć ciepłownicza",0,IF(N155="prąd",0,0)))))))</f>
        <v>0</v>
      </c>
      <c r="AE155" s="639">
        <f>IF(N155="węgiel",Q155*'Założenia,wskaźniki, listy'!$C$48,IF(N155="gaz",Q155*'Założenia,wskaźniki, listy'!$D$48,IF(N155="drewno",Q155*'Założenia,wskaźniki, listy'!$E$48,IF(N155="pelet",Q155*'Założenia,wskaźniki, listy'!$G$48,IF(N155="olej opałowy",Q155*'Założenia,wskaźniki, listy'!$G$48,IF(N155="sieć ciepłownicza",0,IF(N155="prąd",0,0)))))))</f>
        <v>0</v>
      </c>
      <c r="AF155" s="639">
        <f>IF(N155="węgiel",Q155*'Założenia,wskaźniki, listy'!$C$49,IF(N155="gaz",Q155*'Założenia,wskaźniki, listy'!$D$49,IF(N155="drewno",Q155*'Założenia,wskaźniki, listy'!$E$49,IF(N155="pelet",Q155*'Założenia,wskaźniki, listy'!$G$49,IF(N155="olej opałowy",Q155*'Założenia,wskaźniki, listy'!$G$49,IF(N155="sieć ciepłownicza",0,IF(N155="prąd",0,0)))))))</f>
        <v>0</v>
      </c>
      <c r="AG155" s="639">
        <f>IF(N155="węgiel",Q155*'Założenia,wskaźniki, listy'!$C$50,IF(N155="gaz",Q155*'Założenia,wskaźniki, listy'!$D$50,IF(N155="drewno",Q155*'Założenia,wskaźniki, listy'!$E$50,IF(N155="pelet",Q155*'Założenia,wskaźniki, listy'!$G$50,IF(N155="olej opałowy",Q155*'Założenia,wskaźniki, listy'!$G$50,IF(N155="sieć ciepłownicza",0,IF(N155="prąd",0,0)))))))</f>
        <v>0</v>
      </c>
      <c r="AH155" s="640">
        <f>IF(L155="węgiel",(P155+R155)/2*'Założenia,wskaźniki, listy'!$C$4,IF(L155="gaz",(P155+R155)/2*'Założenia,wskaźniki, listy'!$C$5,IF(L155="drewno",(P155+R155)/2*'Założenia,wskaźniki, listy'!$C$6,IF(L155="pelet",(P155+R155)/2*'Założenia,wskaźniki, listy'!$C$7,IF(L155="olej opałowy",(P155+R155)/2*'Założenia,wskaźniki, listy'!$C$8,IF(L155="sieć ciepłownicza",(P155+R155)/2*'Założenia,wskaźniki, listy'!$C$9,IF(L155="sieć ciepłownicza",(P155+R155)/2*'Założenia,wskaźniki, listy'!$C$10,)))))))</f>
        <v>1591.21</v>
      </c>
      <c r="AI155" s="640">
        <f>IF(N155="węgiel",Q155*'Założenia,wskaźniki, listy'!$C$4,IF(N155="gaz",Q155*'Założenia,wskaźniki, listy'!$C$5,IF(N155="drewno",Q155*'Założenia,wskaźniki, listy'!$C$6,IF(N155="pelet",Q155*'Założenia,wskaźniki, listy'!$C$7,IF(N155="olej opałowy",Q155*'Założenia,wskaźniki, listy'!$C$8,IF(N155="sieć ciepłownicza",Q155*'Założenia,wskaźniki, listy'!$C$9,IF(N155="sieć ciepłownicza",Q155*'Założenia,wskaźniki, listy'!$C$10,0)))))))</f>
        <v>0</v>
      </c>
      <c r="AJ155" s="640">
        <f>S155*'Założenia,wskaźniki, listy'!$B$64*1000</f>
        <v>1281.4080000000001</v>
      </c>
      <c r="AK155" s="640">
        <f>(H155+I155)*'Założenia,wskaźniki, listy'!$D$64*12</f>
        <v>0</v>
      </c>
      <c r="AL155" s="640">
        <f>AK155*'Założenia,wskaźniki, listy'!$F$64</f>
        <v>0</v>
      </c>
      <c r="AM155" s="639">
        <f t="shared" si="206"/>
        <v>1.01745E-2</v>
      </c>
      <c r="AN155" s="639">
        <f t="shared" si="207"/>
        <v>9.0892200000000003E-3</v>
      </c>
      <c r="AO155" s="639">
        <f>V155+AC155+S155*'Założenia,wskaźniki, listy'!$J$46</f>
        <v>5.7396139999999995</v>
      </c>
      <c r="AP155" s="639">
        <f t="shared" si="208"/>
        <v>1.22094E-5</v>
      </c>
      <c r="AQ155" s="639">
        <f t="shared" si="209"/>
        <v>4.0697999999999998E-2</v>
      </c>
      <c r="AR155" s="639">
        <f t="shared" si="210"/>
        <v>7.1447599999999991E-3</v>
      </c>
      <c r="AS155" s="639">
        <f t="shared" si="211"/>
        <v>9.0965578900312913E-2</v>
      </c>
      <c r="AT155" s="647"/>
      <c r="AU155" s="647"/>
      <c r="AV155" s="624" t="b">
        <f t="shared" si="241"/>
        <v>0</v>
      </c>
      <c r="AW155" s="624" t="b">
        <f t="shared" si="242"/>
        <v>0</v>
      </c>
      <c r="AX155" s="624">
        <f t="shared" si="243"/>
        <v>60</v>
      </c>
      <c r="AY155" s="624">
        <f t="shared" si="244"/>
        <v>60</v>
      </c>
      <c r="AZ155" s="624" t="b">
        <f t="shared" si="245"/>
        <v>0</v>
      </c>
      <c r="BA155" s="624" t="b">
        <f t="shared" si="246"/>
        <v>0</v>
      </c>
      <c r="BB155" s="624" t="b">
        <f t="shared" si="247"/>
        <v>0</v>
      </c>
      <c r="BC155" s="624" t="b">
        <f t="shared" si="248"/>
        <v>0</v>
      </c>
      <c r="BD155" s="624" t="b">
        <f t="shared" si="249"/>
        <v>0</v>
      </c>
      <c r="BE155" s="624" t="b">
        <f t="shared" si="250"/>
        <v>0</v>
      </c>
      <c r="BF155" s="624">
        <f t="shared" si="251"/>
        <v>45.22</v>
      </c>
      <c r="BG155" s="624" t="b">
        <f t="shared" si="252"/>
        <v>0</v>
      </c>
      <c r="BH155" s="624" t="b">
        <f t="shared" si="253"/>
        <v>0</v>
      </c>
      <c r="BI155" s="624" t="b">
        <f t="shared" si="254"/>
        <v>0</v>
      </c>
      <c r="BJ155" s="624" t="b">
        <f t="shared" si="255"/>
        <v>0</v>
      </c>
      <c r="BK155" s="624" t="b">
        <f t="shared" si="256"/>
        <v>0</v>
      </c>
      <c r="BL155" s="624" t="b">
        <f t="shared" si="257"/>
        <v>0</v>
      </c>
      <c r="BM155" s="624" t="b">
        <f t="shared" si="258"/>
        <v>0</v>
      </c>
      <c r="BN155" s="624" t="b">
        <f t="shared" si="259"/>
        <v>0</v>
      </c>
      <c r="BO155" s="624" t="b">
        <f t="shared" si="260"/>
        <v>0</v>
      </c>
      <c r="BP155" s="624" t="b">
        <f t="shared" si="261"/>
        <v>0</v>
      </c>
      <c r="BQ155" s="624" t="b">
        <f t="shared" si="262"/>
        <v>0</v>
      </c>
    </row>
    <row r="156" spans="1:69" ht="8.25" customHeight="1">
      <c r="A156" s="1087"/>
      <c r="B156" s="872"/>
      <c r="C156" s="872"/>
      <c r="D156" s="645"/>
      <c r="E156" s="645"/>
      <c r="F156" s="644"/>
      <c r="G156" s="644"/>
      <c r="H156" s="644"/>
      <c r="I156" s="635"/>
      <c r="J156" s="644">
        <f>IF(F156&lt;=1966,'Założenia,wskaźniki, listy'!$H$4,IF(F156&gt;1966,IF(F156&lt;=1985,'Założenia,wskaźniki, listy'!$H$5,IF(F156&gt;1985,IF(F156&lt;=1992,'Założenia,wskaźniki, listy'!$H$6,IF(F156&gt;1992,IF(F156&lt;=1996,'Założenia,wskaźniki, listy'!$H$7,IF(F156&gt;1996,IF(F156&lt;=2015,'Założenia,wskaźniki, listy'!$H$8)))))))))</f>
        <v>290</v>
      </c>
      <c r="K156" s="864"/>
      <c r="L156" s="644" t="s">
        <v>79</v>
      </c>
      <c r="M156" s="644">
        <v>1</v>
      </c>
      <c r="N156" s="644"/>
      <c r="O156" s="637">
        <f t="shared" si="240"/>
        <v>15</v>
      </c>
      <c r="P156" s="646">
        <f>IF(K156="kompletna",J156*G156*0.0036*'Założenia,wskaźniki, listy'!$P$9,IF(K156="częściowa",J156*G156*0.0036*'Założenia,wskaźniki, listy'!$P$10,IF(K156="brak",J156*G156*0.0036*'Założenia,wskaźniki, listy'!$P$11,0)))</f>
        <v>0</v>
      </c>
      <c r="Q156" s="638">
        <f>H156*'Założenia,wskaźniki, listy'!$L$15</f>
        <v>0</v>
      </c>
      <c r="R156" s="635">
        <f>IF(L156="węgiel",'Mieszkalne - baza'!M156*'Założenia,wskaźniki, listy'!$B$4,IF(L156="gaz",'Mieszkalne - baza'!M156*'Założenia,wskaźniki, listy'!$B$5,IF(L156="drewno",'Mieszkalne - baza'!M156*'Założenia,wskaźniki, listy'!$B$6,IF(L156="pelet",'Mieszkalne - baza'!M156*'Założenia,wskaźniki, listy'!$B$7,IF(L156="olej opałowy",'Mieszkalne - baza'!M156*'Założenia,wskaźniki, listy'!$B$8,IF(L156="sieć ciepłownicza",0,0))))))</f>
        <v>15</v>
      </c>
      <c r="S156" s="1085"/>
      <c r="T156" s="639">
        <f>IF(L156="węgiel",R156*'Założenia,wskaźniki, listy'!$C$44,IF(L156="gaz",R156*'Założenia,wskaźniki, listy'!$D$44,IF(L156="drewno",R156*'Założenia,wskaźniki, listy'!$E$44,IF(L156="pelet",R156*'Założenia,wskaźniki, listy'!$F$44,IF(L156="olej opałowy",R156*'Założenia,wskaźniki, listy'!$G$44,IF(L156="sieć ciepłownicza",0,IF(L156="prąd",0,0)))))))</f>
        <v>7.1999999999999998E-3</v>
      </c>
      <c r="U156" s="639">
        <f>IF(L156="węgiel",R156*'Założenia,wskaźniki, listy'!$C$45,IF(L156="gaz",R156*'Założenia,wskaźniki, listy'!$D$45,IF(L156="drewno",R156*'Założenia,wskaźniki, listy'!$E$45,IF(L156="pelet",R156*'Założenia,wskaźniki, listy'!$F$45,IF(L156="olej opałowy",R156*'Założenia,wskaźniki, listy'!$G$45,IF(L156="sieć ciepłownicza",0,IF(L156="prąd",0,0)))))))</f>
        <v>7.0499999999999998E-3</v>
      </c>
      <c r="V156" s="639">
        <f>IF(L156="węgiel",R156*'Założenia,wskaźniki, listy'!$C$46,IF(L156="gaz",R156*'Założenia,wskaźniki, listy'!$D$46,IF(L156="drewno",R156*'Założenia,wskaźniki, listy'!$E$46,IF(L156="pelet",R156*'Założenia,wskaźniki, listy'!$F$46,IF(L156="olej opałowy",R156*'Założenia,wskaźniki, listy'!$G$46,IF(L156="sieć ciepłownicza",R156*'Założenia,wskaźniki, listy'!$H$46,IF(L156="prąd",R156*'Założenia,wskaźniki, listy'!$I$46,0)))))))</f>
        <v>0</v>
      </c>
      <c r="W156" s="639">
        <f>IF(L156="węgiel",R156*'Założenia,wskaźniki, listy'!$C$47,IF(L156="gaz",R156*'Założenia,wskaźniki, listy'!$D$47,IF(L156="drewno",R156*'Założenia,wskaźniki, listy'!$E$47,IF(L156="pelet",R156*'Założenia,wskaźniki, listy'!$F$47,IF(L156="olej opałowy",R156*'Założenia,wskaźniki, listy'!$G$47,IF(L156="sieć ciepłownicza",0,IF(L156="prąd",0,0)))))))</f>
        <v>1.8150000000000002E-6</v>
      </c>
      <c r="X156" s="639">
        <f>IF(L156="węgiel",R156*'Założenia,wskaźniki, listy'!$C$48, IF(L156="gaz",R156*'Założenia,wskaźniki, listy'!$D$48,IF(L156="drewno",R156*'Założenia,wskaźniki, listy'!$E$48,IF(L156="pelet",R156*'Założenia,wskaźniki, listy'!$F$48,IF(L156="olej opałowy",R156*'Założenia,wskaźniki, listy'!$G$48,IF(L156="sieć ciepłownicza",0,IF(L156="prąd",0,0)))))))</f>
        <v>1.65E-4</v>
      </c>
      <c r="Y156" s="639">
        <f>IF(L156="węgiel",R156*'Założenia,wskaźniki, listy'!$C$49, IF(L156="gaz",R156*'Założenia,wskaźniki, listy'!$D$49, IF(L156="drewno",R156*'Założenia,wskaźniki, listy'!$E$49,IF(L156="pelet",R156*'Założenia,wskaźniki, listy'!$F$49,IF(L156="olej opałowy",R156*'Założenia,wskaźniki, listy'!$G$49,IF(L156="sieć ciepłownicza",0,IF(L156="prąd",0,0)))))))</f>
        <v>1.2000000000000001E-3</v>
      </c>
      <c r="Z156" s="639">
        <f>IF(L156="węgiel",R156*'Założenia,wskaźniki, listy'!$C$50,IF(L156="gaz",R156*'Założenia,wskaźniki, listy'!$D$50, IF(L156="drewno",R156*'Założenia,wskaźniki, listy'!$E$50,IF(L156="pelet",R156*'Założenia,wskaźniki, listy'!$F$50,IF(L156="pelet",R156*'Założenia,wskaźniki, listy'!$F$50,IF(L156="olej opałowy",R156*'Założenia,wskaźniki, listy'!$G$50,IF(L156="sieć ciepłownicza",0,IF(L156="prąd",0,0))))))))</f>
        <v>2.6909999999999998E-3</v>
      </c>
      <c r="AA156" s="639">
        <f>IF(N156="węgiel",Q156*'Założenia,wskaźniki, listy'!$C$44,IF(N156="gaz",Q156*'Założenia,wskaźniki, listy'!$D$44,IF(N156="drewno",Q156*'Założenia,wskaźniki, listy'!$E$44,IF(N156="pelet",Q156*'Założenia,wskaźniki, listy'!$G$44,IF(N156="olej opałowy",Q156*'Założenia,wskaźniki, listy'!$G$44,IF(N156="sieć ciepłownicza",0,IF(N156="prąd",0,0)))))))</f>
        <v>0</v>
      </c>
      <c r="AB156" s="639">
        <f>IF(N156="węgiel",Q156*'Założenia,wskaźniki, listy'!$C$45,IF(N156="gaz",Q156*'Założenia,wskaźniki, listy'!$D$45,IF(N156="drewno",Q156*'Założenia,wskaźniki, listy'!$E$45,IF(N156="pelet",Q156*'Założenia,wskaźniki, listy'!$G$45,IF(N156="olej opałowy",Q156*'Założenia,wskaźniki, listy'!$G$45,IF(N156="sieć ciepłownicza",0,IF(N156="prąd",0,0)))))))</f>
        <v>0</v>
      </c>
      <c r="AC156" s="639">
        <f>IF(N156="węgiel",Q156*'Założenia,wskaźniki, listy'!$C$46,IF(N156="gaz",Q156*'Założenia,wskaźniki, listy'!$D$46,IF(N156="drewno",Q156*'Założenia,wskaźniki, listy'!$E$46,IF(N156="pelet",Q156*'Założenia,wskaźniki, listy'!$G$46,IF(N156="olej opałowy",Q156*'Założenia,wskaźniki, listy'!$G$46,IF(N156="sieć ciepłownicza",0,IF(N156="prąd",0,0)))))))</f>
        <v>0</v>
      </c>
      <c r="AD156" s="639">
        <f>IF(N156="węgiel",Q156*'Założenia,wskaźniki, listy'!$C$47,IF(N156="gaz",Q156*'Założenia,wskaźniki, listy'!$D$47,IF(N156="drewno",Q156*'Założenia,wskaźniki, listy'!$E$47,IF(N156="pelet",Q156*'Założenia,wskaźniki, listy'!$G$47,IF(N156="olej opałowy",Q156*'Założenia,wskaźniki, listy'!$G$47,IF(N156="sieć ciepłownicza",0,IF(N156="prąd",0,0)))))))</f>
        <v>0</v>
      </c>
      <c r="AE156" s="639">
        <f>IF(N156="węgiel",Q156*'Założenia,wskaźniki, listy'!$C$48,IF(N156="gaz",Q156*'Założenia,wskaźniki, listy'!$D$48,IF(N156="drewno",Q156*'Założenia,wskaźniki, listy'!$E$48,IF(N156="pelet",Q156*'Założenia,wskaźniki, listy'!$G$48,IF(N156="olej opałowy",Q156*'Założenia,wskaźniki, listy'!$G$48,IF(N156="sieć ciepłownicza",0,IF(N156="prąd",0,0)))))))</f>
        <v>0</v>
      </c>
      <c r="AF156" s="639">
        <f>IF(N156="węgiel",Q156*'Założenia,wskaźniki, listy'!$C$49,IF(N156="gaz",Q156*'Założenia,wskaźniki, listy'!$D$49,IF(N156="drewno",Q156*'Założenia,wskaźniki, listy'!$E$49,IF(N156="pelet",Q156*'Założenia,wskaźniki, listy'!$G$49,IF(N156="olej opałowy",Q156*'Założenia,wskaźniki, listy'!$G$49,IF(N156="sieć ciepłownicza",0,IF(N156="prąd",0,0)))))))</f>
        <v>0</v>
      </c>
      <c r="AG156" s="639">
        <f>IF(N156="węgiel",Q156*'Założenia,wskaźniki, listy'!$C$50,IF(N156="gaz",Q156*'Założenia,wskaźniki, listy'!$D$50,IF(N156="drewno",Q156*'Założenia,wskaźniki, listy'!$E$50,IF(N156="pelet",Q156*'Założenia,wskaźniki, listy'!$G$50,IF(N156="olej opałowy",Q156*'Założenia,wskaźniki, listy'!$G$50,IF(N156="sieć ciepłownicza",0,IF(N156="prąd",0,0)))))))</f>
        <v>0</v>
      </c>
      <c r="AH156" s="640">
        <f>IF(L156="węgiel",(P156+R156)/2*'Założenia,wskaźniki, listy'!$C$4,IF(L156="gaz",(P156+R156)/2*'Założenia,wskaźniki, listy'!$C$5,IF(L156="drewno",(P156+R156)/2*'Założenia,wskaźniki, listy'!$C$6,IF(L156="pelet",(P156+R156)/2*'Założenia,wskaźniki, listy'!$C$7,IF(L156="olej opałowy",(P156+R156)/2*'Założenia,wskaźniki, listy'!$C$8,IF(L156="sieć ciepłownicza",(P156+R156)/2*'Założenia,wskaźniki, listy'!$C$9,IF(L156="sieć ciepłownicza",(P156+R156)/2*'Założenia,wskaźniki, listy'!$C$10,)))))))</f>
        <v>285</v>
      </c>
      <c r="AI156" s="640">
        <f>IF(N156="węgiel",Q156*'Założenia,wskaźniki, listy'!$C$4,IF(N156="gaz",Q156*'Założenia,wskaźniki, listy'!$C$5,IF(N156="drewno",Q156*'Założenia,wskaźniki, listy'!$C$6,IF(N156="pelet",Q156*'Założenia,wskaźniki, listy'!$C$7,IF(N156="olej opałowy",Q156*'Założenia,wskaźniki, listy'!$C$8,IF(N156="sieć ciepłownicza",Q156*'Założenia,wskaźniki, listy'!$C$9,IF(N156="sieć ciepłownicza",Q156*'Założenia,wskaźniki, listy'!$C$10,0)))))))</f>
        <v>0</v>
      </c>
      <c r="AJ156" s="640">
        <f>S156*'Założenia,wskaźniki, listy'!$B$64*1000</f>
        <v>0</v>
      </c>
      <c r="AK156" s="640">
        <f>(H156+I156)*'Założenia,wskaźniki, listy'!$D$64*12</f>
        <v>0</v>
      </c>
      <c r="AL156" s="640">
        <f>AK156*'Założenia,wskaźniki, listy'!$F$64</f>
        <v>0</v>
      </c>
      <c r="AM156" s="639">
        <f t="shared" si="206"/>
        <v>7.1999999999999998E-3</v>
      </c>
      <c r="AN156" s="639">
        <f t="shared" si="207"/>
        <v>7.0499999999999998E-3</v>
      </c>
      <c r="AO156" s="639">
        <f>V156+AC156+S156*'Założenia,wskaźniki, listy'!$J$46</f>
        <v>0</v>
      </c>
      <c r="AP156" s="639">
        <f t="shared" si="208"/>
        <v>1.8150000000000002E-6</v>
      </c>
      <c r="AQ156" s="639">
        <f t="shared" si="209"/>
        <v>1.65E-4</v>
      </c>
      <c r="AR156" s="639">
        <f t="shared" si="210"/>
        <v>1.2000000000000001E-3</v>
      </c>
      <c r="AS156" s="639">
        <f t="shared" si="211"/>
        <v>2.6909999999999998E-3</v>
      </c>
      <c r="AT156" s="647"/>
      <c r="AU156" s="647"/>
      <c r="AV156" s="624">
        <f t="shared" si="241"/>
        <v>0</v>
      </c>
      <c r="AW156" s="624" t="b">
        <f t="shared" si="242"/>
        <v>0</v>
      </c>
      <c r="AX156" s="624" t="b">
        <f t="shared" si="243"/>
        <v>0</v>
      </c>
      <c r="AY156" s="624" t="b">
        <f t="shared" si="244"/>
        <v>0</v>
      </c>
      <c r="AZ156" s="624" t="b">
        <f t="shared" si="245"/>
        <v>0</v>
      </c>
      <c r="BA156" s="624" t="b">
        <f t="shared" si="246"/>
        <v>0</v>
      </c>
      <c r="BB156" s="624" t="b">
        <f t="shared" si="247"/>
        <v>0</v>
      </c>
      <c r="BC156" s="624" t="b">
        <f t="shared" si="248"/>
        <v>0</v>
      </c>
      <c r="BD156" s="624" t="b">
        <f t="shared" si="249"/>
        <v>0</v>
      </c>
      <c r="BE156" s="624" t="b">
        <f t="shared" si="250"/>
        <v>0</v>
      </c>
      <c r="BF156" s="624" t="b">
        <f t="shared" si="251"/>
        <v>0</v>
      </c>
      <c r="BG156" s="624" t="b">
        <f t="shared" si="252"/>
        <v>0</v>
      </c>
      <c r="BH156" s="624">
        <f t="shared" si="253"/>
        <v>15</v>
      </c>
      <c r="BI156" s="624" t="b">
        <f t="shared" si="254"/>
        <v>0</v>
      </c>
      <c r="BJ156" s="624" t="b">
        <f t="shared" si="255"/>
        <v>0</v>
      </c>
      <c r="BK156" s="624" t="b">
        <f t="shared" si="256"/>
        <v>0</v>
      </c>
      <c r="BL156" s="624" t="b">
        <f t="shared" si="257"/>
        <v>0</v>
      </c>
      <c r="BM156" s="624" t="b">
        <f t="shared" si="258"/>
        <v>0</v>
      </c>
      <c r="BN156" s="624" t="b">
        <f t="shared" si="259"/>
        <v>0</v>
      </c>
      <c r="BO156" s="624" t="b">
        <f t="shared" si="260"/>
        <v>0</v>
      </c>
      <c r="BP156" s="624" t="b">
        <f t="shared" si="261"/>
        <v>0</v>
      </c>
      <c r="BQ156" s="624" t="b">
        <f t="shared" si="262"/>
        <v>0</v>
      </c>
    </row>
    <row r="157" spans="1:69" ht="8.25" customHeight="1">
      <c r="A157" s="1086">
        <v>77</v>
      </c>
      <c r="B157" s="872" t="s">
        <v>21</v>
      </c>
      <c r="C157" s="873" t="s">
        <v>634</v>
      </c>
      <c r="D157" s="645"/>
      <c r="E157" s="645">
        <v>29</v>
      </c>
      <c r="F157" s="644">
        <v>1956</v>
      </c>
      <c r="G157" s="644">
        <v>60</v>
      </c>
      <c r="H157" s="644"/>
      <c r="I157" s="635"/>
      <c r="J157" s="644">
        <f>IF(F157&lt;=1966,'Założenia,wskaźniki, listy'!$H$4,IF(F157&gt;1966,IF(F157&lt;=1985,'Założenia,wskaźniki, listy'!$H$5,IF(F157&gt;1985,IF(F157&lt;=1992,'Założenia,wskaźniki, listy'!$H$6,IF(F157&gt;1992,IF(F157&lt;=1996,'Założenia,wskaźniki, listy'!$H$7,IF(F157&gt;1996,IF(F157&lt;=2015,'Założenia,wskaźniki, listy'!$H$8)))))))))</f>
        <v>290</v>
      </c>
      <c r="K157" s="864" t="s">
        <v>31</v>
      </c>
      <c r="L157" s="644" t="s">
        <v>79</v>
      </c>
      <c r="M157" s="644">
        <v>4</v>
      </c>
      <c r="N157" s="644"/>
      <c r="O157" s="637">
        <f t="shared" si="240"/>
        <v>61.32</v>
      </c>
      <c r="P157" s="646">
        <f>IF(K157="kompletna",J157*G157*0.0036*'Założenia,wskaźniki, listy'!$P$9,IF(K157="częściowa",J157*G157*0.0036*'Założenia,wskaźniki, listy'!$P$10,IF(K157="brak",J157*G157*0.0036*'Założenia,wskaźniki, listy'!$P$11,0)))</f>
        <v>62.64</v>
      </c>
      <c r="Q157" s="638">
        <f>H157*'Założenia,wskaźniki, listy'!$L$15</f>
        <v>0</v>
      </c>
      <c r="R157" s="635">
        <f>IF(L157="węgiel",'Mieszkalne - baza'!M157*'Założenia,wskaźniki, listy'!$B$4,IF(L157="gaz",'Mieszkalne - baza'!M157*'Założenia,wskaźniki, listy'!$B$5,IF(L157="drewno",'Mieszkalne - baza'!M157*'Założenia,wskaźniki, listy'!$B$6,IF(L157="pelet",'Mieszkalne - baza'!M157*'Założenia,wskaźniki, listy'!$B$7,IF(L157="olej opałowy",'Mieszkalne - baza'!M157*'Założenia,wskaźniki, listy'!$B$8,IF(L157="sieć ciepłownicza",0,0))))))</f>
        <v>60</v>
      </c>
      <c r="S157" s="1084">
        <v>1.6919999999999999</v>
      </c>
      <c r="T157" s="639">
        <f>IF(L157="węgiel",R157*'Założenia,wskaźniki, listy'!$C$44,IF(L157="gaz",R157*'Założenia,wskaźniki, listy'!$D$44,IF(L157="drewno",R157*'Założenia,wskaźniki, listy'!$E$44,IF(L157="pelet",R157*'Założenia,wskaźniki, listy'!$F$44,IF(L157="olej opałowy",R157*'Założenia,wskaźniki, listy'!$G$44,IF(L157="sieć ciepłownicza",0,IF(L157="prąd",0,0)))))))</f>
        <v>2.8799999999999999E-2</v>
      </c>
      <c r="U157" s="639">
        <f>IF(L157="węgiel",R157*'Założenia,wskaźniki, listy'!$C$45,IF(L157="gaz",R157*'Założenia,wskaźniki, listy'!$D$45,IF(L157="drewno",R157*'Założenia,wskaźniki, listy'!$E$45,IF(L157="pelet",R157*'Założenia,wskaźniki, listy'!$F$45,IF(L157="olej opałowy",R157*'Założenia,wskaźniki, listy'!$G$45,IF(L157="sieć ciepłownicza",0,IF(L157="prąd",0,0)))))))</f>
        <v>2.8199999999999999E-2</v>
      </c>
      <c r="V157" s="639">
        <f>IF(L157="węgiel",R157*'Założenia,wskaźniki, listy'!$C$46,IF(L157="gaz",R157*'Założenia,wskaźniki, listy'!$D$46,IF(L157="drewno",R157*'Założenia,wskaźniki, listy'!$E$46,IF(L157="pelet",R157*'Założenia,wskaźniki, listy'!$F$46,IF(L157="olej opałowy",R157*'Założenia,wskaźniki, listy'!$G$46,IF(L157="sieć ciepłownicza",R157*'Założenia,wskaźniki, listy'!$H$46,IF(L157="prąd",R157*'Założenia,wskaźniki, listy'!$I$46,0)))))))</f>
        <v>0</v>
      </c>
      <c r="W157" s="639">
        <f>IF(L157="węgiel",R157*'Założenia,wskaźniki, listy'!$C$47,IF(L157="gaz",R157*'Założenia,wskaźniki, listy'!$D$47,IF(L157="drewno",R157*'Założenia,wskaźniki, listy'!$E$47,IF(L157="pelet",R157*'Założenia,wskaźniki, listy'!$F$47,IF(L157="olej opałowy",R157*'Założenia,wskaźniki, listy'!$G$47,IF(L157="sieć ciepłownicza",0,IF(L157="prąd",0,0)))))))</f>
        <v>7.2600000000000008E-6</v>
      </c>
      <c r="X157" s="639">
        <f>IF(L157="węgiel",R157*'Założenia,wskaźniki, listy'!$C$48, IF(L157="gaz",R157*'Założenia,wskaźniki, listy'!$D$48,IF(L157="drewno",R157*'Założenia,wskaźniki, listy'!$E$48,IF(L157="pelet",R157*'Założenia,wskaźniki, listy'!$F$48,IF(L157="olej opałowy",R157*'Założenia,wskaźniki, listy'!$G$48,IF(L157="sieć ciepłownicza",0,IF(L157="prąd",0,0)))))))</f>
        <v>6.6E-4</v>
      </c>
      <c r="Y157" s="639">
        <f>IF(L157="węgiel",R157*'Założenia,wskaźniki, listy'!$C$49, IF(L157="gaz",R157*'Założenia,wskaźniki, listy'!$D$49, IF(L157="drewno",R157*'Założenia,wskaźniki, listy'!$E$49,IF(L157="pelet",R157*'Założenia,wskaźniki, listy'!$F$49,IF(L157="olej opałowy",R157*'Założenia,wskaźniki, listy'!$G$49,IF(L157="sieć ciepłownicza",0,IF(L157="prąd",0,0)))))))</f>
        <v>4.8000000000000004E-3</v>
      </c>
      <c r="Z157" s="639">
        <f>IF(L157="węgiel",R157*'Założenia,wskaźniki, listy'!$C$50,IF(L157="gaz",R157*'Założenia,wskaźniki, listy'!$D$50, IF(L157="drewno",R157*'Założenia,wskaźniki, listy'!$E$50,IF(L157="pelet",R157*'Założenia,wskaźniki, listy'!$F$50,IF(L157="pelet",R157*'Założenia,wskaźniki, listy'!$F$50,IF(L157="olej opałowy",R157*'Założenia,wskaźniki, listy'!$G$50,IF(L157="sieć ciepłownicza",0,IF(L157="prąd",0,0))))))))</f>
        <v>1.0763999999999999E-2</v>
      </c>
      <c r="AA157" s="639">
        <f>IF(N157="węgiel",Q157*'Założenia,wskaźniki, listy'!$C$44,IF(N157="gaz",Q157*'Założenia,wskaźniki, listy'!$D$44,IF(N157="drewno",Q157*'Założenia,wskaźniki, listy'!$E$44,IF(N157="pelet",Q157*'Założenia,wskaźniki, listy'!$G$44,IF(N157="olej opałowy",Q157*'Założenia,wskaźniki, listy'!$G$44,IF(N157="sieć ciepłownicza",0,IF(N157="prąd",0,0)))))))</f>
        <v>0</v>
      </c>
      <c r="AB157" s="639">
        <f>IF(N157="węgiel",Q157*'Założenia,wskaźniki, listy'!$C$45,IF(N157="gaz",Q157*'Założenia,wskaźniki, listy'!$D$45,IF(N157="drewno",Q157*'Założenia,wskaźniki, listy'!$E$45,IF(N157="pelet",Q157*'Założenia,wskaźniki, listy'!$G$45,IF(N157="olej opałowy",Q157*'Założenia,wskaźniki, listy'!$G$45,IF(N157="sieć ciepłownicza",0,IF(N157="prąd",0,0)))))))</f>
        <v>0</v>
      </c>
      <c r="AC157" s="639">
        <f>IF(N157="węgiel",Q157*'Założenia,wskaźniki, listy'!$C$46,IF(N157="gaz",Q157*'Założenia,wskaźniki, listy'!$D$46,IF(N157="drewno",Q157*'Założenia,wskaźniki, listy'!$E$46,IF(N157="pelet",Q157*'Założenia,wskaźniki, listy'!$G$46,IF(N157="olej opałowy",Q157*'Założenia,wskaźniki, listy'!$G$46,IF(N157="sieć ciepłownicza",0,IF(N157="prąd",0,0)))))))</f>
        <v>0</v>
      </c>
      <c r="AD157" s="639">
        <f>IF(N157="węgiel",Q157*'Założenia,wskaźniki, listy'!$C$47,IF(N157="gaz",Q157*'Założenia,wskaźniki, listy'!$D$47,IF(N157="drewno",Q157*'Założenia,wskaźniki, listy'!$E$47,IF(N157="pelet",Q157*'Założenia,wskaźniki, listy'!$G$47,IF(N157="olej opałowy",Q157*'Założenia,wskaźniki, listy'!$G$47,IF(N157="sieć ciepłownicza",0,IF(N157="prąd",0,0)))))))</f>
        <v>0</v>
      </c>
      <c r="AE157" s="639">
        <f>IF(N157="węgiel",Q157*'Założenia,wskaźniki, listy'!$C$48,IF(N157="gaz",Q157*'Założenia,wskaźniki, listy'!$D$48,IF(N157="drewno",Q157*'Założenia,wskaźniki, listy'!$E$48,IF(N157="pelet",Q157*'Założenia,wskaźniki, listy'!$G$48,IF(N157="olej opałowy",Q157*'Założenia,wskaźniki, listy'!$G$48,IF(N157="sieć ciepłownicza",0,IF(N157="prąd",0,0)))))))</f>
        <v>0</v>
      </c>
      <c r="AF157" s="639">
        <f>IF(N157="węgiel",Q157*'Założenia,wskaźniki, listy'!$C$49,IF(N157="gaz",Q157*'Założenia,wskaźniki, listy'!$D$49,IF(N157="drewno",Q157*'Założenia,wskaźniki, listy'!$E$49,IF(N157="pelet",Q157*'Założenia,wskaźniki, listy'!$G$49,IF(N157="olej opałowy",Q157*'Założenia,wskaźniki, listy'!$G$49,IF(N157="sieć ciepłownicza",0,IF(N157="prąd",0,0)))))))</f>
        <v>0</v>
      </c>
      <c r="AG157" s="639">
        <f>IF(N157="węgiel",Q157*'Założenia,wskaźniki, listy'!$C$50,IF(N157="gaz",Q157*'Założenia,wskaźniki, listy'!$D$50,IF(N157="drewno",Q157*'Założenia,wskaźniki, listy'!$E$50,IF(N157="pelet",Q157*'Założenia,wskaźniki, listy'!$G$50,IF(N157="olej opałowy",Q157*'Założenia,wskaźniki, listy'!$G$50,IF(N157="sieć ciepłownicza",0,IF(N157="prąd",0,0)))))))</f>
        <v>0</v>
      </c>
      <c r="AH157" s="640">
        <f>IF(L157="węgiel",(P157+R157)/2*'Założenia,wskaźniki, listy'!$C$4,IF(L157="gaz",(P157+R157)/2*'Założenia,wskaźniki, listy'!$C$5,IF(L157="drewno",(P157+R157)/2*'Założenia,wskaźniki, listy'!$C$6,IF(L157="pelet",(P157+R157)/2*'Założenia,wskaźniki, listy'!$C$7,IF(L157="olej opałowy",(P157+R157)/2*'Założenia,wskaźniki, listy'!$C$8,IF(L157="sieć ciepłownicza",(P157+R157)/2*'Założenia,wskaźniki, listy'!$C$9,IF(L157="sieć ciepłownicza",(P157+R157)/2*'Założenia,wskaźniki, listy'!$C$10,)))))))</f>
        <v>2330.16</v>
      </c>
      <c r="AI157" s="640">
        <f>IF(N157="węgiel",Q157*'Założenia,wskaźniki, listy'!$C$4,IF(N157="gaz",Q157*'Założenia,wskaźniki, listy'!$C$5,IF(N157="drewno",Q157*'Założenia,wskaźniki, listy'!$C$6,IF(N157="pelet",Q157*'Założenia,wskaźniki, listy'!$C$7,IF(N157="olej opałowy",Q157*'Założenia,wskaźniki, listy'!$C$8,IF(N157="sieć ciepłownicza",Q157*'Założenia,wskaźniki, listy'!$C$9,IF(N157="sieć ciepłownicza",Q157*'Założenia,wskaźniki, listy'!$C$10,0)))))))</f>
        <v>0</v>
      </c>
      <c r="AJ157" s="640">
        <f>S157*'Założenia,wskaźniki, listy'!$B$64*1000</f>
        <v>1201.32</v>
      </c>
      <c r="AK157" s="640">
        <f>(H157+I157)*'Założenia,wskaźniki, listy'!$D$64*12</f>
        <v>0</v>
      </c>
      <c r="AL157" s="640">
        <f>AK157*'Założenia,wskaźniki, listy'!$F$64</f>
        <v>0</v>
      </c>
      <c r="AM157" s="639">
        <f t="shared" si="206"/>
        <v>2.8799999999999999E-2</v>
      </c>
      <c r="AN157" s="639">
        <f t="shared" si="207"/>
        <v>2.8199999999999999E-2</v>
      </c>
      <c r="AO157" s="639">
        <f>V157+AC157+S157*'Założenia,wskaźniki, listy'!$J$46</f>
        <v>1.406898</v>
      </c>
      <c r="AP157" s="639">
        <f t="shared" si="208"/>
        <v>7.2600000000000008E-6</v>
      </c>
      <c r="AQ157" s="639">
        <f t="shared" si="209"/>
        <v>6.6E-4</v>
      </c>
      <c r="AR157" s="639">
        <f t="shared" si="210"/>
        <v>4.8000000000000004E-3</v>
      </c>
      <c r="AS157" s="639">
        <f t="shared" si="211"/>
        <v>1.0763999999999999E-2</v>
      </c>
      <c r="AT157" s="647"/>
      <c r="AU157" s="647"/>
      <c r="AV157" s="624">
        <f t="shared" si="241"/>
        <v>60</v>
      </c>
      <c r="AW157" s="624" t="b">
        <f t="shared" si="242"/>
        <v>0</v>
      </c>
      <c r="AX157" s="624" t="b">
        <f t="shared" si="243"/>
        <v>0</v>
      </c>
      <c r="AY157" s="624" t="b">
        <f t="shared" si="244"/>
        <v>0</v>
      </c>
      <c r="AZ157" s="624" t="b">
        <f t="shared" si="245"/>
        <v>0</v>
      </c>
      <c r="BA157" s="624" t="b">
        <f t="shared" si="246"/>
        <v>0</v>
      </c>
      <c r="BB157" s="624" t="b">
        <f t="shared" si="247"/>
        <v>0</v>
      </c>
      <c r="BC157" s="624" t="b">
        <f t="shared" si="248"/>
        <v>0</v>
      </c>
      <c r="BD157" s="624" t="b">
        <f t="shared" si="249"/>
        <v>0</v>
      </c>
      <c r="BE157" s="624" t="b">
        <f t="shared" si="250"/>
        <v>0</v>
      </c>
      <c r="BF157" s="624" t="b">
        <f t="shared" si="251"/>
        <v>0</v>
      </c>
      <c r="BG157" s="624" t="b">
        <f t="shared" si="252"/>
        <v>0</v>
      </c>
      <c r="BH157" s="624">
        <f t="shared" si="253"/>
        <v>60</v>
      </c>
      <c r="BI157" s="624" t="b">
        <f t="shared" si="254"/>
        <v>0</v>
      </c>
      <c r="BJ157" s="624" t="b">
        <f t="shared" si="255"/>
        <v>0</v>
      </c>
      <c r="BK157" s="624" t="b">
        <f t="shared" si="256"/>
        <v>0</v>
      </c>
      <c r="BL157" s="624" t="b">
        <f t="shared" si="257"/>
        <v>0</v>
      </c>
      <c r="BM157" s="624" t="b">
        <f t="shared" si="258"/>
        <v>0</v>
      </c>
      <c r="BN157" s="624" t="b">
        <f t="shared" si="259"/>
        <v>0</v>
      </c>
      <c r="BO157" s="624" t="b">
        <f t="shared" si="260"/>
        <v>0</v>
      </c>
      <c r="BP157" s="624" t="b">
        <f t="shared" si="261"/>
        <v>0</v>
      </c>
      <c r="BQ157" s="624" t="b">
        <f t="shared" si="262"/>
        <v>0</v>
      </c>
    </row>
    <row r="158" spans="1:69" ht="8.25" customHeight="1">
      <c r="A158" s="1087"/>
      <c r="B158" s="872"/>
      <c r="C158" s="872"/>
      <c r="D158" s="645"/>
      <c r="E158" s="645"/>
      <c r="F158" s="644"/>
      <c r="G158" s="644"/>
      <c r="H158" s="644"/>
      <c r="I158" s="635"/>
      <c r="J158" s="644">
        <f>IF(F158&lt;=1966,'Założenia,wskaźniki, listy'!$H$4,IF(F158&gt;1966,IF(F158&lt;=1985,'Założenia,wskaźniki, listy'!$H$5,IF(F158&gt;1985,IF(F158&lt;=1992,'Założenia,wskaźniki, listy'!$H$6,IF(F158&gt;1992,IF(F158&lt;=1996,'Założenia,wskaźniki, listy'!$H$7,IF(F158&gt;1996,IF(F158&lt;=2015,'Założenia,wskaźniki, listy'!$H$8)))))))))</f>
        <v>290</v>
      </c>
      <c r="K158" s="864"/>
      <c r="L158" s="644"/>
      <c r="M158" s="644"/>
      <c r="N158" s="644"/>
      <c r="O158" s="637">
        <f t="shared" si="240"/>
        <v>0</v>
      </c>
      <c r="P158" s="646">
        <f>IF(K158="kompletna",J158*G158*0.0036*'Założenia,wskaźniki, listy'!$P$9,IF(K158="częściowa",J158*G158*0.0036*'Założenia,wskaźniki, listy'!$P$10,IF(K158="brak",J158*G158*0.0036*'Założenia,wskaźniki, listy'!$P$11,0)))</f>
        <v>0</v>
      </c>
      <c r="Q158" s="638">
        <f>H158*'Założenia,wskaźniki, listy'!$L$15</f>
        <v>0</v>
      </c>
      <c r="R158" s="635">
        <f>IF(L158="węgiel",'Mieszkalne - baza'!M158*'Założenia,wskaźniki, listy'!$B$4,IF(L158="gaz",'Mieszkalne - baza'!M158*'Założenia,wskaźniki, listy'!$B$5,IF(L158="drewno",'Mieszkalne - baza'!M158*'Założenia,wskaźniki, listy'!$B$6,IF(L158="pelet",'Mieszkalne - baza'!M158*'Założenia,wskaźniki, listy'!$B$7,IF(L158="olej opałowy",'Mieszkalne - baza'!M158*'Założenia,wskaźniki, listy'!$B$8,IF(L158="sieć ciepłownicza",0,0))))))</f>
        <v>0</v>
      </c>
      <c r="S158" s="1085"/>
      <c r="T158" s="639">
        <f>IF(L158="węgiel",R158*'Założenia,wskaźniki, listy'!$C$44,IF(L158="gaz",R158*'Założenia,wskaźniki, listy'!$D$44,IF(L158="drewno",R158*'Założenia,wskaźniki, listy'!$E$44,IF(L158="pelet",R158*'Założenia,wskaźniki, listy'!$F$44,IF(L158="olej opałowy",R158*'Założenia,wskaźniki, listy'!$G$44,IF(L158="sieć ciepłownicza",0,IF(L158="prąd",0,0)))))))</f>
        <v>0</v>
      </c>
      <c r="U158" s="639">
        <f>IF(L158="węgiel",R158*'Założenia,wskaźniki, listy'!$C$45,IF(L158="gaz",R158*'Założenia,wskaźniki, listy'!$D$45,IF(L158="drewno",R158*'Założenia,wskaźniki, listy'!$E$45,IF(L158="pelet",R158*'Założenia,wskaźniki, listy'!$F$45,IF(L158="olej opałowy",R158*'Założenia,wskaźniki, listy'!$G$45,IF(L158="sieć ciepłownicza",0,IF(L158="prąd",0,0)))))))</f>
        <v>0</v>
      </c>
      <c r="V158" s="639">
        <f>IF(L158="węgiel",R158*'Założenia,wskaźniki, listy'!$C$46,IF(L158="gaz",R158*'Założenia,wskaźniki, listy'!$D$46,IF(L158="drewno",R158*'Założenia,wskaźniki, listy'!$E$46,IF(L158="pelet",R158*'Założenia,wskaźniki, listy'!$F$46,IF(L158="olej opałowy",R158*'Założenia,wskaźniki, listy'!$G$46,IF(L158="sieć ciepłownicza",R158*'Założenia,wskaźniki, listy'!$H$46,IF(L158="prąd",R158*'Założenia,wskaźniki, listy'!$I$46,0)))))))</f>
        <v>0</v>
      </c>
      <c r="W158" s="639">
        <f>IF(L158="węgiel",R158*'Założenia,wskaźniki, listy'!$C$47,IF(L158="gaz",R158*'Założenia,wskaźniki, listy'!$D$47,IF(L158="drewno",R158*'Założenia,wskaźniki, listy'!$E$47,IF(L158="pelet",R158*'Założenia,wskaźniki, listy'!$F$47,IF(L158="olej opałowy",R158*'Założenia,wskaźniki, listy'!$G$47,IF(L158="sieć ciepłownicza",0,IF(L158="prąd",0,0)))))))</f>
        <v>0</v>
      </c>
      <c r="X158" s="639">
        <f>IF(L158="węgiel",R158*'Założenia,wskaźniki, listy'!$C$48, IF(L158="gaz",R158*'Założenia,wskaźniki, listy'!$D$48,IF(L158="drewno",R158*'Założenia,wskaźniki, listy'!$E$48,IF(L158="pelet",R158*'Założenia,wskaźniki, listy'!$F$48,IF(L158="olej opałowy",R158*'Założenia,wskaźniki, listy'!$G$48,IF(L158="sieć ciepłownicza",0,IF(L158="prąd",0,0)))))))</f>
        <v>0</v>
      </c>
      <c r="Y158" s="639">
        <f>IF(L158="węgiel",R158*'Założenia,wskaźniki, listy'!$C$49, IF(L158="gaz",R158*'Założenia,wskaźniki, listy'!$D$49, IF(L158="drewno",R158*'Założenia,wskaźniki, listy'!$E$49,IF(L158="pelet",R158*'Założenia,wskaźniki, listy'!$F$49,IF(L158="olej opałowy",R158*'Założenia,wskaźniki, listy'!$G$49,IF(L158="sieć ciepłownicza",0,IF(L158="prąd",0,0)))))))</f>
        <v>0</v>
      </c>
      <c r="Z158" s="639">
        <f>IF(L158="węgiel",R158*'Założenia,wskaźniki, listy'!$C$50,IF(L158="gaz",R158*'Założenia,wskaźniki, listy'!$D$50, IF(L158="drewno",R158*'Założenia,wskaźniki, listy'!$E$50,IF(L158="pelet",R158*'Założenia,wskaźniki, listy'!$F$50,IF(L158="pelet",R158*'Założenia,wskaźniki, listy'!$F$50,IF(L158="olej opałowy",R158*'Założenia,wskaźniki, listy'!$G$50,IF(L158="sieć ciepłownicza",0,IF(L158="prąd",0,0))))))))</f>
        <v>0</v>
      </c>
      <c r="AA158" s="639">
        <f>IF(N158="węgiel",Q158*'Założenia,wskaźniki, listy'!$C$44,IF(N158="gaz",Q158*'Założenia,wskaźniki, listy'!$D$44,IF(N158="drewno",Q158*'Założenia,wskaźniki, listy'!$E$44,IF(N158="pelet",Q158*'Założenia,wskaźniki, listy'!$G$44,IF(N158="olej opałowy",Q158*'Założenia,wskaźniki, listy'!$G$44,IF(N158="sieć ciepłownicza",0,IF(N158="prąd",0,0)))))))</f>
        <v>0</v>
      </c>
      <c r="AB158" s="639">
        <f>IF(N158="węgiel",Q158*'Założenia,wskaźniki, listy'!$C$45,IF(N158="gaz",Q158*'Założenia,wskaźniki, listy'!$D$45,IF(N158="drewno",Q158*'Założenia,wskaźniki, listy'!$E$45,IF(N158="pelet",Q158*'Założenia,wskaźniki, listy'!$G$45,IF(N158="olej opałowy",Q158*'Założenia,wskaźniki, listy'!$G$45,IF(N158="sieć ciepłownicza",0,IF(N158="prąd",0,0)))))))</f>
        <v>0</v>
      </c>
      <c r="AC158" s="639">
        <f>IF(N158="węgiel",Q158*'Założenia,wskaźniki, listy'!$C$46,IF(N158="gaz",Q158*'Założenia,wskaźniki, listy'!$D$46,IF(N158="drewno",Q158*'Założenia,wskaźniki, listy'!$E$46,IF(N158="pelet",Q158*'Założenia,wskaźniki, listy'!$G$46,IF(N158="olej opałowy",Q158*'Założenia,wskaźniki, listy'!$G$46,IF(N158="sieć ciepłownicza",0,IF(N158="prąd",0,0)))))))</f>
        <v>0</v>
      </c>
      <c r="AD158" s="639">
        <f>IF(N158="węgiel",Q158*'Założenia,wskaźniki, listy'!$C$47,IF(N158="gaz",Q158*'Założenia,wskaźniki, listy'!$D$47,IF(N158="drewno",Q158*'Założenia,wskaźniki, listy'!$E$47,IF(N158="pelet",Q158*'Założenia,wskaźniki, listy'!$G$47,IF(N158="olej opałowy",Q158*'Założenia,wskaźniki, listy'!$G$47,IF(N158="sieć ciepłownicza",0,IF(N158="prąd",0,0)))))))</f>
        <v>0</v>
      </c>
      <c r="AE158" s="639">
        <f>IF(N158="węgiel",Q158*'Założenia,wskaźniki, listy'!$C$48,IF(N158="gaz",Q158*'Założenia,wskaźniki, listy'!$D$48,IF(N158="drewno",Q158*'Założenia,wskaźniki, listy'!$E$48,IF(N158="pelet",Q158*'Założenia,wskaźniki, listy'!$G$48,IF(N158="olej opałowy",Q158*'Założenia,wskaźniki, listy'!$G$48,IF(N158="sieć ciepłownicza",0,IF(N158="prąd",0,0)))))))</f>
        <v>0</v>
      </c>
      <c r="AF158" s="639">
        <f>IF(N158="węgiel",Q158*'Założenia,wskaźniki, listy'!$C$49,IF(N158="gaz",Q158*'Założenia,wskaźniki, listy'!$D$49,IF(N158="drewno",Q158*'Założenia,wskaźniki, listy'!$E$49,IF(N158="pelet",Q158*'Założenia,wskaźniki, listy'!$G$49,IF(N158="olej opałowy",Q158*'Założenia,wskaźniki, listy'!$G$49,IF(N158="sieć ciepłownicza",0,IF(N158="prąd",0,0)))))))</f>
        <v>0</v>
      </c>
      <c r="AG158" s="639">
        <f>IF(N158="węgiel",Q158*'Założenia,wskaźniki, listy'!$C$50,IF(N158="gaz",Q158*'Założenia,wskaźniki, listy'!$D$50,IF(N158="drewno",Q158*'Założenia,wskaźniki, listy'!$E$50,IF(N158="pelet",Q158*'Założenia,wskaźniki, listy'!$G$50,IF(N158="olej opałowy",Q158*'Założenia,wskaźniki, listy'!$G$50,IF(N158="sieć ciepłownicza",0,IF(N158="prąd",0,0)))))))</f>
        <v>0</v>
      </c>
      <c r="AH158" s="640">
        <f>IF(L158="węgiel",(P158+R158)/2*'Założenia,wskaźniki, listy'!$C$4,IF(L158="gaz",(P158+R158)/2*'Założenia,wskaźniki, listy'!$C$5,IF(L158="drewno",(P158+R158)/2*'Założenia,wskaźniki, listy'!$C$6,IF(L158="pelet",(P158+R158)/2*'Założenia,wskaźniki, listy'!$C$7,IF(L158="olej opałowy",(P158+R158)/2*'Założenia,wskaźniki, listy'!$C$8,IF(L158="sieć ciepłownicza",(P158+R158)/2*'Założenia,wskaźniki, listy'!$C$9,IF(L158="sieć ciepłownicza",(P158+R158)/2*'Założenia,wskaźniki, listy'!$C$10,)))))))</f>
        <v>0</v>
      </c>
      <c r="AI158" s="640">
        <f>IF(N158="węgiel",Q158*'Założenia,wskaźniki, listy'!$C$4,IF(N158="gaz",Q158*'Założenia,wskaźniki, listy'!$C$5,IF(N158="drewno",Q158*'Założenia,wskaźniki, listy'!$C$6,IF(N158="pelet",Q158*'Założenia,wskaźniki, listy'!$C$7,IF(N158="olej opałowy",Q158*'Założenia,wskaźniki, listy'!$C$8,IF(N158="sieć ciepłownicza",Q158*'Założenia,wskaźniki, listy'!$C$9,IF(N158="sieć ciepłownicza",Q158*'Założenia,wskaźniki, listy'!$C$10,0)))))))</f>
        <v>0</v>
      </c>
      <c r="AJ158" s="640">
        <f>S158*'Założenia,wskaźniki, listy'!$B$64*1000</f>
        <v>0</v>
      </c>
      <c r="AK158" s="640">
        <f>(H158+I158)*'Założenia,wskaźniki, listy'!$D$64*12</f>
        <v>0</v>
      </c>
      <c r="AL158" s="640">
        <f>AK158*'Założenia,wskaźniki, listy'!$F$64</f>
        <v>0</v>
      </c>
      <c r="AM158" s="639">
        <f t="shared" si="206"/>
        <v>0</v>
      </c>
      <c r="AN158" s="639">
        <f t="shared" si="207"/>
        <v>0</v>
      </c>
      <c r="AO158" s="639">
        <f>V158+AC158+S158*'Założenia,wskaźniki, listy'!$J$46</f>
        <v>0</v>
      </c>
      <c r="AP158" s="639">
        <f t="shared" si="208"/>
        <v>0</v>
      </c>
      <c r="AQ158" s="639">
        <f t="shared" si="209"/>
        <v>0</v>
      </c>
      <c r="AR158" s="639">
        <f t="shared" si="210"/>
        <v>0</v>
      </c>
      <c r="AS158" s="639">
        <f t="shared" si="211"/>
        <v>0</v>
      </c>
      <c r="AT158" s="647"/>
      <c r="AU158" s="647"/>
      <c r="AV158" s="624">
        <f t="shared" si="241"/>
        <v>0</v>
      </c>
      <c r="AW158" s="624" t="b">
        <f t="shared" si="242"/>
        <v>0</v>
      </c>
      <c r="AX158" s="624" t="b">
        <f t="shared" si="243"/>
        <v>0</v>
      </c>
      <c r="AY158" s="624" t="b">
        <f t="shared" si="244"/>
        <v>0</v>
      </c>
      <c r="AZ158" s="624" t="b">
        <f t="shared" si="245"/>
        <v>0</v>
      </c>
      <c r="BA158" s="624" t="b">
        <f t="shared" si="246"/>
        <v>0</v>
      </c>
      <c r="BB158" s="624" t="b">
        <f t="shared" si="247"/>
        <v>0</v>
      </c>
      <c r="BC158" s="624" t="b">
        <f t="shared" si="248"/>
        <v>0</v>
      </c>
      <c r="BD158" s="624" t="b">
        <f t="shared" si="249"/>
        <v>0</v>
      </c>
      <c r="BE158" s="624" t="b">
        <f t="shared" si="250"/>
        <v>0</v>
      </c>
      <c r="BF158" s="624" t="b">
        <f t="shared" si="251"/>
        <v>0</v>
      </c>
      <c r="BG158" s="624" t="b">
        <f t="shared" si="252"/>
        <v>0</v>
      </c>
      <c r="BH158" s="624" t="b">
        <f t="shared" si="253"/>
        <v>0</v>
      </c>
      <c r="BI158" s="624" t="b">
        <f t="shared" si="254"/>
        <v>0</v>
      </c>
      <c r="BJ158" s="624" t="b">
        <f t="shared" si="255"/>
        <v>0</v>
      </c>
      <c r="BK158" s="624" t="b">
        <f t="shared" si="256"/>
        <v>0</v>
      </c>
      <c r="BL158" s="624" t="b">
        <f t="shared" si="257"/>
        <v>0</v>
      </c>
      <c r="BM158" s="624" t="b">
        <f t="shared" si="258"/>
        <v>0</v>
      </c>
      <c r="BN158" s="624" t="b">
        <f t="shared" si="259"/>
        <v>0</v>
      </c>
      <c r="BO158" s="624" t="b">
        <f t="shared" si="260"/>
        <v>0</v>
      </c>
      <c r="BP158" s="624" t="b">
        <f t="shared" si="261"/>
        <v>0</v>
      </c>
      <c r="BQ158" s="624" t="b">
        <f t="shared" si="262"/>
        <v>0</v>
      </c>
    </row>
    <row r="159" spans="1:69" ht="8.25" customHeight="1">
      <c r="A159" s="1086">
        <v>78</v>
      </c>
      <c r="B159" s="872" t="s">
        <v>21</v>
      </c>
      <c r="C159" s="873" t="s">
        <v>634</v>
      </c>
      <c r="D159" s="645"/>
      <c r="E159" s="645" t="s">
        <v>639</v>
      </c>
      <c r="F159" s="644">
        <v>2005</v>
      </c>
      <c r="G159" s="644">
        <v>240</v>
      </c>
      <c r="H159" s="644"/>
      <c r="I159" s="635"/>
      <c r="J159" s="644">
        <f>IF(F159&lt;=1966,'Założenia,wskaźniki, listy'!$H$4,IF(F159&gt;1966,IF(F159&lt;=1985,'Założenia,wskaźniki, listy'!$H$5,IF(F159&gt;1985,IF(F159&lt;=1992,'Założenia,wskaźniki, listy'!$H$6,IF(F159&gt;1992,IF(F159&lt;=1996,'Założenia,wskaźniki, listy'!$H$7,IF(F159&gt;1996,IF(F159&lt;=2015,'Założenia,wskaźniki, listy'!$H$8)))))))))</f>
        <v>115</v>
      </c>
      <c r="K159" s="864" t="s">
        <v>31</v>
      </c>
      <c r="L159" s="644" t="s">
        <v>8</v>
      </c>
      <c r="M159" s="644">
        <v>4</v>
      </c>
      <c r="N159" s="644"/>
      <c r="O159" s="637">
        <f t="shared" si="240"/>
        <v>94.9</v>
      </c>
      <c r="P159" s="646">
        <f>IF(K159="kompletna",J159*G159*0.0036*'Założenia,wskaźniki, listy'!$P$9,IF(K159="częściowa",J159*G159*0.0036*'Założenia,wskaźniki, listy'!$P$10,IF(K159="brak",J159*G159*0.0036*'Założenia,wskaźniki, listy'!$P$11,0)))</f>
        <v>99.36</v>
      </c>
      <c r="Q159" s="638">
        <f>H159*'Założenia,wskaźniki, listy'!$L$15</f>
        <v>0</v>
      </c>
      <c r="R159" s="635">
        <f>IF(L159="węgiel",'Mieszkalne - baza'!M159*'Założenia,wskaźniki, listy'!$B$4,IF(L159="gaz",'Mieszkalne - baza'!M159*'Założenia,wskaźniki, listy'!$B$5,IF(L159="drewno",'Mieszkalne - baza'!M159*'Założenia,wskaźniki, listy'!$B$6,IF(L159="pelet",'Mieszkalne - baza'!M159*'Założenia,wskaźniki, listy'!$B$7,IF(L159="olej opałowy",'Mieszkalne - baza'!M159*'Założenia,wskaźniki, listy'!$B$8,IF(L159="sieć ciepłownicza",0,0))))))</f>
        <v>90.44</v>
      </c>
      <c r="S159" s="1084">
        <v>2.0304000000000002</v>
      </c>
      <c r="T159" s="639">
        <f>IF(L159="węgiel",R159*'Założenia,wskaźniki, listy'!$C$44,IF(L159="gaz",R159*'Założenia,wskaźniki, listy'!$D$44,IF(L159="drewno",R159*'Założenia,wskaźniki, listy'!$E$44,IF(L159="pelet",R159*'Założenia,wskaźniki, listy'!$F$44,IF(L159="olej opałowy",R159*'Założenia,wskaźniki, listy'!$G$44,IF(L159="sieć ciepłownicza",0,IF(L159="prąd",0,0)))))))</f>
        <v>2.0348999999999999E-2</v>
      </c>
      <c r="U159" s="639">
        <f>IF(L159="węgiel",R159*'Założenia,wskaźniki, listy'!$C$45,IF(L159="gaz",R159*'Założenia,wskaźniki, listy'!$D$45,IF(L159="drewno",R159*'Założenia,wskaźniki, listy'!$E$45,IF(L159="pelet",R159*'Założenia,wskaźniki, listy'!$F$45,IF(L159="olej opałowy",R159*'Założenia,wskaźniki, listy'!$G$45,IF(L159="sieć ciepłownicza",0,IF(L159="prąd",0,0)))))))</f>
        <v>1.8178440000000001E-2</v>
      </c>
      <c r="V159" s="639">
        <f>IF(L159="węgiel",R159*'Założenia,wskaźniki, listy'!$C$46,IF(L159="gaz",R159*'Założenia,wskaźniki, listy'!$D$46,IF(L159="drewno",R159*'Założenia,wskaźniki, listy'!$E$46,IF(L159="pelet",R159*'Założenia,wskaźniki, listy'!$F$46,IF(L159="olej opałowy",R159*'Założenia,wskaźniki, listy'!$G$46,IF(L159="sieć ciepłownicza",R159*'Założenia,wskaźniki, listy'!$H$46,IF(L159="prąd",R159*'Założenia,wskaźniki, listy'!$I$46,0)))))))</f>
        <v>8.4778455999999984</v>
      </c>
      <c r="W159" s="639">
        <f>IF(L159="węgiel",R159*'Założenia,wskaźniki, listy'!$C$47,IF(L159="gaz",R159*'Założenia,wskaźniki, listy'!$D$47,IF(L159="drewno",R159*'Założenia,wskaźniki, listy'!$E$47,IF(L159="pelet",R159*'Założenia,wskaźniki, listy'!$F$47,IF(L159="olej opałowy",R159*'Założenia,wskaźniki, listy'!$G$47,IF(L159="sieć ciepłownicza",0,IF(L159="prąd",0,0)))))))</f>
        <v>2.4418800000000001E-5</v>
      </c>
      <c r="X159" s="639">
        <f>IF(L159="węgiel",R159*'Założenia,wskaźniki, listy'!$C$48, IF(L159="gaz",R159*'Założenia,wskaźniki, listy'!$D$48,IF(L159="drewno",R159*'Założenia,wskaźniki, listy'!$E$48,IF(L159="pelet",R159*'Założenia,wskaźniki, listy'!$F$48,IF(L159="olej opałowy",R159*'Założenia,wskaźniki, listy'!$G$48,IF(L159="sieć ciepłownicza",0,IF(L159="prąd",0,0)))))))</f>
        <v>8.1395999999999996E-2</v>
      </c>
      <c r="Y159" s="639">
        <f>IF(L159="węgiel",R159*'Założenia,wskaźniki, listy'!$C$49, IF(L159="gaz",R159*'Założenia,wskaźniki, listy'!$D$49, IF(L159="drewno",R159*'Założenia,wskaźniki, listy'!$E$49,IF(L159="pelet",R159*'Założenia,wskaźniki, listy'!$F$49,IF(L159="olej opałowy",R159*'Założenia,wskaźniki, listy'!$G$49,IF(L159="sieć ciepłownicza",0,IF(L159="prąd",0,0)))))))</f>
        <v>1.4289519999999998E-2</v>
      </c>
      <c r="Z159" s="639">
        <f>IF(L159="węgiel",R159*'Założenia,wskaźniki, listy'!$C$50,IF(L159="gaz",R159*'Założenia,wskaźniki, listy'!$D$50, IF(L159="drewno",R159*'Założenia,wskaźniki, listy'!$E$50,IF(L159="pelet",R159*'Założenia,wskaźniki, listy'!$F$50,IF(L159="pelet",R159*'Założenia,wskaźniki, listy'!$F$50,IF(L159="olej opałowy",R159*'Założenia,wskaźniki, listy'!$G$50,IF(L159="sieć ciepłownicza",0,IF(L159="prąd",0,0))))))))</f>
        <v>0.18193115780062583</v>
      </c>
      <c r="AA159" s="639">
        <f>IF(N159="węgiel",Q159*'Założenia,wskaźniki, listy'!$C$44,IF(N159="gaz",Q159*'Założenia,wskaźniki, listy'!$D$44,IF(N159="drewno",Q159*'Założenia,wskaźniki, listy'!$E$44,IF(N159="pelet",Q159*'Założenia,wskaźniki, listy'!$G$44,IF(N159="olej opałowy",Q159*'Założenia,wskaźniki, listy'!$G$44,IF(N159="sieć ciepłownicza",0,IF(N159="prąd",0,0)))))))</f>
        <v>0</v>
      </c>
      <c r="AB159" s="639">
        <f>IF(N159="węgiel",Q159*'Założenia,wskaźniki, listy'!$C$45,IF(N159="gaz",Q159*'Założenia,wskaźniki, listy'!$D$45,IF(N159="drewno",Q159*'Założenia,wskaźniki, listy'!$E$45,IF(N159="pelet",Q159*'Założenia,wskaźniki, listy'!$G$45,IF(N159="olej opałowy",Q159*'Założenia,wskaźniki, listy'!$G$45,IF(N159="sieć ciepłownicza",0,IF(N159="prąd",0,0)))))))</f>
        <v>0</v>
      </c>
      <c r="AC159" s="639">
        <f>IF(N159="węgiel",Q159*'Założenia,wskaźniki, listy'!$C$46,IF(N159="gaz",Q159*'Założenia,wskaźniki, listy'!$D$46,IF(N159="drewno",Q159*'Założenia,wskaźniki, listy'!$E$46,IF(N159="pelet",Q159*'Założenia,wskaźniki, listy'!$G$46,IF(N159="olej opałowy",Q159*'Założenia,wskaźniki, listy'!$G$46,IF(N159="sieć ciepłownicza",0,IF(N159="prąd",0,0)))))))</f>
        <v>0</v>
      </c>
      <c r="AD159" s="639">
        <f>IF(N159="węgiel",Q159*'Założenia,wskaźniki, listy'!$C$47,IF(N159="gaz",Q159*'Założenia,wskaźniki, listy'!$D$47,IF(N159="drewno",Q159*'Założenia,wskaźniki, listy'!$E$47,IF(N159="pelet",Q159*'Założenia,wskaźniki, listy'!$G$47,IF(N159="olej opałowy",Q159*'Założenia,wskaźniki, listy'!$G$47,IF(N159="sieć ciepłownicza",0,IF(N159="prąd",0,0)))))))</f>
        <v>0</v>
      </c>
      <c r="AE159" s="639">
        <f>IF(N159="węgiel",Q159*'Założenia,wskaźniki, listy'!$C$48,IF(N159="gaz",Q159*'Założenia,wskaźniki, listy'!$D$48,IF(N159="drewno",Q159*'Założenia,wskaźniki, listy'!$E$48,IF(N159="pelet",Q159*'Założenia,wskaźniki, listy'!$G$48,IF(N159="olej opałowy",Q159*'Założenia,wskaźniki, listy'!$G$48,IF(N159="sieć ciepłownicza",0,IF(N159="prąd",0,0)))))))</f>
        <v>0</v>
      </c>
      <c r="AF159" s="639">
        <f>IF(N159="węgiel",Q159*'Założenia,wskaźniki, listy'!$C$49,IF(N159="gaz",Q159*'Założenia,wskaźniki, listy'!$D$49,IF(N159="drewno",Q159*'Założenia,wskaźniki, listy'!$E$49,IF(N159="pelet",Q159*'Założenia,wskaźniki, listy'!$G$49,IF(N159="olej opałowy",Q159*'Założenia,wskaźniki, listy'!$G$49,IF(N159="sieć ciepłownicza",0,IF(N159="prąd",0,0)))))))</f>
        <v>0</v>
      </c>
      <c r="AG159" s="639">
        <f>IF(N159="węgiel",Q159*'Założenia,wskaźniki, listy'!$C$50,IF(N159="gaz",Q159*'Założenia,wskaźniki, listy'!$D$50,IF(N159="drewno",Q159*'Założenia,wskaźniki, listy'!$E$50,IF(N159="pelet",Q159*'Założenia,wskaźniki, listy'!$G$50,IF(N159="olej opałowy",Q159*'Założenia,wskaźniki, listy'!$G$50,IF(N159="sieć ciepłownicza",0,IF(N159="prąd",0,0)))))))</f>
        <v>0</v>
      </c>
      <c r="AH159" s="640">
        <f>IF(L159="węgiel",(P159+R159)/2*'Założenia,wskaźniki, listy'!$C$4,IF(L159="gaz",(P159+R159)/2*'Założenia,wskaźniki, listy'!$C$5,IF(L159="drewno",(P159+R159)/2*'Założenia,wskaźniki, listy'!$C$6,IF(L159="pelet",(P159+R159)/2*'Założenia,wskaźniki, listy'!$C$7,IF(L159="olej opałowy",(P159+R159)/2*'Założenia,wskaźniki, listy'!$C$8,IF(L159="sieć ciepłownicza",(P159+R159)/2*'Założenia,wskaźniki, listy'!$C$9,IF(L159="sieć ciepłownicza",(P159+R159)/2*'Założenia,wskaźniki, listy'!$C$10,)))))))</f>
        <v>3890.9</v>
      </c>
      <c r="AI159" s="640">
        <f>IF(N159="węgiel",Q159*'Założenia,wskaźniki, listy'!$C$4,IF(N159="gaz",Q159*'Założenia,wskaźniki, listy'!$C$5,IF(N159="drewno",Q159*'Założenia,wskaźniki, listy'!$C$6,IF(N159="pelet",Q159*'Założenia,wskaźniki, listy'!$C$7,IF(N159="olej opałowy",Q159*'Założenia,wskaźniki, listy'!$C$8,IF(N159="sieć ciepłownicza",Q159*'Założenia,wskaźniki, listy'!$C$9,IF(N159="sieć ciepłownicza",Q159*'Założenia,wskaźniki, listy'!$C$10,0)))))))</f>
        <v>0</v>
      </c>
      <c r="AJ159" s="640">
        <f>S159*'Założenia,wskaźniki, listy'!$B$64*1000</f>
        <v>1441.5840000000001</v>
      </c>
      <c r="AK159" s="640">
        <f>(H159+I159)*'Założenia,wskaźniki, listy'!$D$64*12</f>
        <v>0</v>
      </c>
      <c r="AL159" s="640">
        <f>AK159*'Założenia,wskaźniki, listy'!$F$64</f>
        <v>0</v>
      </c>
      <c r="AM159" s="639">
        <f t="shared" si="206"/>
        <v>2.0348999999999999E-2</v>
      </c>
      <c r="AN159" s="639">
        <f t="shared" si="207"/>
        <v>1.8178440000000001E-2</v>
      </c>
      <c r="AO159" s="639">
        <f>V159+AC159+S159*'Założenia,wskaźniki, listy'!$J$46</f>
        <v>10.166123199999998</v>
      </c>
      <c r="AP159" s="639">
        <f t="shared" si="208"/>
        <v>2.4418800000000001E-5</v>
      </c>
      <c r="AQ159" s="639">
        <f t="shared" si="209"/>
        <v>8.1395999999999996E-2</v>
      </c>
      <c r="AR159" s="639">
        <f t="shared" si="210"/>
        <v>1.4289519999999998E-2</v>
      </c>
      <c r="AS159" s="639">
        <f t="shared" si="211"/>
        <v>0.18193115780062583</v>
      </c>
      <c r="AT159" s="647"/>
      <c r="AU159" s="647"/>
      <c r="AV159" s="624" t="b">
        <f t="shared" si="241"/>
        <v>0</v>
      </c>
      <c r="AW159" s="624" t="b">
        <f t="shared" si="242"/>
        <v>0</v>
      </c>
      <c r="AX159" s="624" t="b">
        <f t="shared" si="243"/>
        <v>0</v>
      </c>
      <c r="AY159" s="624" t="b">
        <f t="shared" si="244"/>
        <v>0</v>
      </c>
      <c r="AZ159" s="624" t="b">
        <f t="shared" si="245"/>
        <v>0</v>
      </c>
      <c r="BA159" s="624" t="b">
        <f t="shared" si="246"/>
        <v>0</v>
      </c>
      <c r="BB159" s="624" t="b">
        <f t="shared" si="247"/>
        <v>0</v>
      </c>
      <c r="BC159" s="624" t="b">
        <f t="shared" si="248"/>
        <v>0</v>
      </c>
      <c r="BD159" s="624">
        <f t="shared" si="249"/>
        <v>240</v>
      </c>
      <c r="BE159" s="624" t="b">
        <f t="shared" si="250"/>
        <v>0</v>
      </c>
      <c r="BF159" s="624">
        <f t="shared" si="251"/>
        <v>90.44</v>
      </c>
      <c r="BG159" s="624" t="b">
        <f t="shared" si="252"/>
        <v>0</v>
      </c>
      <c r="BH159" s="624" t="b">
        <f t="shared" si="253"/>
        <v>0</v>
      </c>
      <c r="BI159" s="624" t="b">
        <f t="shared" si="254"/>
        <v>0</v>
      </c>
      <c r="BJ159" s="624" t="b">
        <f t="shared" si="255"/>
        <v>0</v>
      </c>
      <c r="BK159" s="624" t="b">
        <f t="shared" si="256"/>
        <v>0</v>
      </c>
      <c r="BL159" s="624" t="b">
        <f t="shared" si="257"/>
        <v>0</v>
      </c>
      <c r="BM159" s="624" t="b">
        <f t="shared" si="258"/>
        <v>0</v>
      </c>
      <c r="BN159" s="624" t="b">
        <f t="shared" si="259"/>
        <v>0</v>
      </c>
      <c r="BO159" s="624" t="b">
        <f t="shared" si="260"/>
        <v>0</v>
      </c>
      <c r="BP159" s="624" t="b">
        <f t="shared" si="261"/>
        <v>0</v>
      </c>
      <c r="BQ159" s="624" t="b">
        <f t="shared" si="262"/>
        <v>0</v>
      </c>
    </row>
    <row r="160" spans="1:69" ht="8.25" customHeight="1">
      <c r="A160" s="1086"/>
      <c r="B160" s="872"/>
      <c r="C160" s="872"/>
      <c r="D160" s="645"/>
      <c r="E160" s="645"/>
      <c r="F160" s="644"/>
      <c r="G160" s="644"/>
      <c r="H160" s="644"/>
      <c r="I160" s="635"/>
      <c r="J160" s="644">
        <f>IF(F160&lt;=1966,'Założenia,wskaźniki, listy'!$H$4,IF(F160&gt;1966,IF(F160&lt;=1985,'Założenia,wskaźniki, listy'!$H$5,IF(F160&gt;1985,IF(F160&lt;=1992,'Założenia,wskaźniki, listy'!$H$6,IF(F160&gt;1992,IF(F160&lt;=1996,'Założenia,wskaźniki, listy'!$H$7,IF(F160&gt;1996,IF(F160&lt;=2015,'Założenia,wskaźniki, listy'!$H$8)))))))))</f>
        <v>290</v>
      </c>
      <c r="K160" s="864"/>
      <c r="L160" s="644"/>
      <c r="M160" s="644"/>
      <c r="N160" s="644"/>
      <c r="O160" s="637">
        <f t="shared" ref="O160" si="284">IF(P160&gt;0,(Q160+R160+P160)/2,Q160+R160)</f>
        <v>0</v>
      </c>
      <c r="P160" s="646">
        <f>IF(K160="kompletna",J160*G160*0.0036*'Założenia,wskaźniki, listy'!$P$9,IF(K160="częściowa",J160*G160*0.0036*'Założenia,wskaźniki, listy'!$P$10,IF(K160="brak",J160*G160*0.0036*'Założenia,wskaźniki, listy'!$P$11,0)))</f>
        <v>0</v>
      </c>
      <c r="Q160" s="638">
        <f>H160*'Założenia,wskaźniki, listy'!$L$15</f>
        <v>0</v>
      </c>
      <c r="R160" s="635">
        <f>IF(L160="węgiel",'Mieszkalne - baza'!M160*'Założenia,wskaźniki, listy'!$B$4,IF(L160="gaz",'Mieszkalne - baza'!M160*'Założenia,wskaźniki, listy'!$B$5,IF(L160="drewno",'Mieszkalne - baza'!M160*'Założenia,wskaźniki, listy'!$B$6,IF(L160="pelet",'Mieszkalne - baza'!M160*'Założenia,wskaźniki, listy'!$B$7,IF(L160="olej opałowy",'Mieszkalne - baza'!M160*'Założenia,wskaźniki, listy'!$B$8,IF(L160="sieć ciepłownicza",0,0))))))</f>
        <v>0</v>
      </c>
      <c r="S160" s="1085"/>
      <c r="T160" s="639">
        <f>IF(L160="węgiel",R160*'Założenia,wskaźniki, listy'!$C$44,IF(L160="gaz",R160*'Założenia,wskaźniki, listy'!$D$44,IF(L160="drewno",R160*'Założenia,wskaźniki, listy'!$E$44,IF(L160="pelet",R160*'Założenia,wskaźniki, listy'!$F$44,IF(L160="olej opałowy",R160*'Założenia,wskaźniki, listy'!$G$44,IF(L160="sieć ciepłownicza",0,IF(L160="prąd",0,0)))))))</f>
        <v>0</v>
      </c>
      <c r="U160" s="639">
        <f>IF(L160="węgiel",R160*'Założenia,wskaźniki, listy'!$C$45,IF(L160="gaz",R160*'Założenia,wskaźniki, listy'!$D$45,IF(L160="drewno",R160*'Założenia,wskaźniki, listy'!$E$45,IF(L160="pelet",R160*'Założenia,wskaźniki, listy'!$F$45,IF(L160="olej opałowy",R160*'Założenia,wskaźniki, listy'!$G$45,IF(L160="sieć ciepłownicza",0,IF(L160="prąd",0,0)))))))</f>
        <v>0</v>
      </c>
      <c r="V160" s="639">
        <f>IF(L160="węgiel",R160*'Założenia,wskaźniki, listy'!$C$46,IF(L160="gaz",R160*'Założenia,wskaźniki, listy'!$D$46,IF(L160="drewno",R160*'Założenia,wskaźniki, listy'!$E$46,IF(L160="pelet",R160*'Założenia,wskaźniki, listy'!$F$46,IF(L160="olej opałowy",R160*'Założenia,wskaźniki, listy'!$G$46,IF(L160="sieć ciepłownicza",R160*'Założenia,wskaźniki, listy'!$H$46,IF(L160="prąd",R160*'Założenia,wskaźniki, listy'!$I$46,0)))))))</f>
        <v>0</v>
      </c>
      <c r="W160" s="639">
        <f>IF(L160="węgiel",R160*'Założenia,wskaźniki, listy'!$C$47,IF(L160="gaz",R160*'Założenia,wskaźniki, listy'!$D$47,IF(L160="drewno",R160*'Założenia,wskaźniki, listy'!$E$47,IF(L160="pelet",R160*'Założenia,wskaźniki, listy'!$F$47,IF(L160="olej opałowy",R160*'Założenia,wskaźniki, listy'!$G$47,IF(L160="sieć ciepłownicza",0,IF(L160="prąd",0,0)))))))</f>
        <v>0</v>
      </c>
      <c r="X160" s="639">
        <f>IF(L160="węgiel",R160*'Założenia,wskaźniki, listy'!$C$48, IF(L160="gaz",R160*'Założenia,wskaźniki, listy'!$D$48,IF(L160="drewno",R160*'Założenia,wskaźniki, listy'!$E$48,IF(L160="pelet",R160*'Założenia,wskaźniki, listy'!$F$48,IF(L160="olej opałowy",R160*'Założenia,wskaźniki, listy'!$G$48,IF(L160="sieć ciepłownicza",0,IF(L160="prąd",0,0)))))))</f>
        <v>0</v>
      </c>
      <c r="Y160" s="639">
        <f>IF(L160="węgiel",R160*'Założenia,wskaźniki, listy'!$C$49, IF(L160="gaz",R160*'Założenia,wskaźniki, listy'!$D$49, IF(L160="drewno",R160*'Założenia,wskaźniki, listy'!$E$49,IF(L160="pelet",R160*'Założenia,wskaźniki, listy'!$F$49,IF(L160="olej opałowy",R160*'Założenia,wskaźniki, listy'!$G$49,IF(L160="sieć ciepłownicza",0,IF(L160="prąd",0,0)))))))</f>
        <v>0</v>
      </c>
      <c r="Z160" s="639">
        <f>IF(L160="węgiel",R160*'Założenia,wskaźniki, listy'!$C$50,IF(L160="gaz",R160*'Założenia,wskaźniki, listy'!$D$50, IF(L160="drewno",R160*'Założenia,wskaźniki, listy'!$E$50,IF(L160="pelet",R160*'Założenia,wskaźniki, listy'!$F$50,IF(L160="pelet",R160*'Założenia,wskaźniki, listy'!$F$50,IF(L160="olej opałowy",R160*'Założenia,wskaźniki, listy'!$G$50,IF(L160="sieć ciepłownicza",0,IF(L160="prąd",0,0))))))))</f>
        <v>0</v>
      </c>
      <c r="AA160" s="639">
        <f>IF(N160="węgiel",Q160*'Założenia,wskaźniki, listy'!$C$44,IF(N160="gaz",Q160*'Założenia,wskaźniki, listy'!$D$44,IF(N160="drewno",Q160*'Założenia,wskaźniki, listy'!$E$44,IF(N160="pelet",Q160*'Założenia,wskaźniki, listy'!$G$44,IF(N160="olej opałowy",Q160*'Założenia,wskaźniki, listy'!$G$44,IF(N160="sieć ciepłownicza",0,IF(N160="prąd",0,0)))))))</f>
        <v>0</v>
      </c>
      <c r="AB160" s="639">
        <f>IF(N160="węgiel",Q160*'Założenia,wskaźniki, listy'!$C$45,IF(N160="gaz",Q160*'Założenia,wskaźniki, listy'!$D$45,IF(N160="drewno",Q160*'Założenia,wskaźniki, listy'!$E$45,IF(N160="pelet",Q160*'Założenia,wskaźniki, listy'!$G$45,IF(N160="olej opałowy",Q160*'Założenia,wskaźniki, listy'!$G$45,IF(N160="sieć ciepłownicza",0,IF(N160="prąd",0,0)))))))</f>
        <v>0</v>
      </c>
      <c r="AC160" s="639">
        <f>IF(N160="węgiel",Q160*'Założenia,wskaźniki, listy'!$C$46,IF(N160="gaz",Q160*'Założenia,wskaźniki, listy'!$D$46,IF(N160="drewno",Q160*'Założenia,wskaźniki, listy'!$E$46,IF(N160="pelet",Q160*'Założenia,wskaźniki, listy'!$G$46,IF(N160="olej opałowy",Q160*'Założenia,wskaźniki, listy'!$G$46,IF(N160="sieć ciepłownicza",0,IF(N160="prąd",0,0)))))))</f>
        <v>0</v>
      </c>
      <c r="AD160" s="639">
        <f>IF(N160="węgiel",Q160*'Założenia,wskaźniki, listy'!$C$47,IF(N160="gaz",Q160*'Założenia,wskaźniki, listy'!$D$47,IF(N160="drewno",Q160*'Założenia,wskaźniki, listy'!$E$47,IF(N160="pelet",Q160*'Założenia,wskaźniki, listy'!$G$47,IF(N160="olej opałowy",Q160*'Założenia,wskaźniki, listy'!$G$47,IF(N160="sieć ciepłownicza",0,IF(N160="prąd",0,0)))))))</f>
        <v>0</v>
      </c>
      <c r="AE160" s="639">
        <f>IF(N160="węgiel",Q160*'Założenia,wskaźniki, listy'!$C$48,IF(N160="gaz",Q160*'Założenia,wskaźniki, listy'!$D$48,IF(N160="drewno",Q160*'Założenia,wskaźniki, listy'!$E$48,IF(N160="pelet",Q160*'Założenia,wskaźniki, listy'!$G$48,IF(N160="olej opałowy",Q160*'Założenia,wskaźniki, listy'!$G$48,IF(N160="sieć ciepłownicza",0,IF(N160="prąd",0,0)))))))</f>
        <v>0</v>
      </c>
      <c r="AF160" s="639">
        <f>IF(N160="węgiel",Q160*'Założenia,wskaźniki, listy'!$C$49,IF(N160="gaz",Q160*'Założenia,wskaźniki, listy'!$D$49,IF(N160="drewno",Q160*'Założenia,wskaźniki, listy'!$E$49,IF(N160="pelet",Q160*'Założenia,wskaźniki, listy'!$G$49,IF(N160="olej opałowy",Q160*'Założenia,wskaźniki, listy'!$G$49,IF(N160="sieć ciepłownicza",0,IF(N160="prąd",0,0)))))))</f>
        <v>0</v>
      </c>
      <c r="AG160" s="639">
        <f>IF(N160="węgiel",Q160*'Założenia,wskaźniki, listy'!$C$50,IF(N160="gaz",Q160*'Założenia,wskaźniki, listy'!$D$50,IF(N160="drewno",Q160*'Założenia,wskaźniki, listy'!$E$50,IF(N160="pelet",Q160*'Założenia,wskaźniki, listy'!$G$50,IF(N160="olej opałowy",Q160*'Założenia,wskaźniki, listy'!$G$50,IF(N160="sieć ciepłownicza",0,IF(N160="prąd",0,0)))))))</f>
        <v>0</v>
      </c>
      <c r="AH160" s="640">
        <f>IF(L160="węgiel",(P160+R160)/2*'Założenia,wskaźniki, listy'!$C$4,IF(L160="gaz",(P160+R160)/2*'Założenia,wskaźniki, listy'!$C$5,IF(L160="drewno",(P160+R160)/2*'Założenia,wskaźniki, listy'!$C$6,IF(L160="pelet",(P160+R160)/2*'Założenia,wskaźniki, listy'!$C$7,IF(L160="olej opałowy",(P160+R160)/2*'Założenia,wskaźniki, listy'!$C$8,IF(L160="sieć ciepłownicza",(P160+R160)/2*'Założenia,wskaźniki, listy'!$C$9,IF(L160="sieć ciepłownicza",(P160+R160)/2*'Założenia,wskaźniki, listy'!$C$10,)))))))</f>
        <v>0</v>
      </c>
      <c r="AI160" s="640">
        <f>IF(N160="węgiel",Q160*'Założenia,wskaźniki, listy'!$C$4,IF(N160="gaz",Q160*'Założenia,wskaźniki, listy'!$C$5,IF(N160="drewno",Q160*'Założenia,wskaźniki, listy'!$C$6,IF(N160="pelet",Q160*'Założenia,wskaźniki, listy'!$C$7,IF(N160="olej opałowy",Q160*'Założenia,wskaźniki, listy'!$C$8,IF(N160="sieć ciepłownicza",Q160*'Założenia,wskaźniki, listy'!$C$9,IF(N160="sieć ciepłownicza",Q160*'Założenia,wskaźniki, listy'!$C$10,0)))))))</f>
        <v>0</v>
      </c>
      <c r="AJ160" s="640">
        <f>S160*'Założenia,wskaźniki, listy'!$B$64*1000</f>
        <v>0</v>
      </c>
      <c r="AK160" s="640">
        <f>(H160+I160)*'Założenia,wskaźniki, listy'!$D$64*12</f>
        <v>0</v>
      </c>
      <c r="AL160" s="640">
        <f>AK160*'Założenia,wskaźniki, listy'!$F$64</f>
        <v>0</v>
      </c>
      <c r="AM160" s="639">
        <f t="shared" ref="AM160" si="285">T160+AA160</f>
        <v>0</v>
      </c>
      <c r="AN160" s="639">
        <f t="shared" ref="AN160" si="286">U160+AB160</f>
        <v>0</v>
      </c>
      <c r="AO160" s="639">
        <f>V160+AC160+S160*'Założenia,wskaźniki, listy'!$J$46</f>
        <v>0</v>
      </c>
      <c r="AP160" s="639">
        <f t="shared" ref="AP160" si="287">W160+AD160</f>
        <v>0</v>
      </c>
      <c r="AQ160" s="639">
        <f t="shared" ref="AQ160" si="288">X160+AE160</f>
        <v>0</v>
      </c>
      <c r="AR160" s="639">
        <f t="shared" ref="AR160" si="289">Y160+AF160</f>
        <v>0</v>
      </c>
      <c r="AS160" s="639">
        <f t="shared" ref="AS160" si="290">Z160+AG160</f>
        <v>0</v>
      </c>
      <c r="AT160" s="647"/>
      <c r="AU160" s="647"/>
      <c r="AV160" s="624">
        <f t="shared" si="241"/>
        <v>0</v>
      </c>
      <c r="AW160" s="624" t="b">
        <f t="shared" si="242"/>
        <v>0</v>
      </c>
      <c r="AX160" s="624" t="b">
        <f t="shared" si="243"/>
        <v>0</v>
      </c>
      <c r="AY160" s="624" t="b">
        <f t="shared" si="244"/>
        <v>0</v>
      </c>
      <c r="AZ160" s="624" t="b">
        <f t="shared" si="245"/>
        <v>0</v>
      </c>
      <c r="BA160" s="624" t="b">
        <f t="shared" si="246"/>
        <v>0</v>
      </c>
      <c r="BB160" s="624" t="b">
        <f t="shared" si="247"/>
        <v>0</v>
      </c>
      <c r="BC160" s="624" t="b">
        <f t="shared" si="248"/>
        <v>0</v>
      </c>
      <c r="BD160" s="624" t="b">
        <f t="shared" si="249"/>
        <v>0</v>
      </c>
      <c r="BE160" s="624" t="b">
        <f t="shared" si="250"/>
        <v>0</v>
      </c>
      <c r="BF160" s="624" t="b">
        <f t="shared" si="251"/>
        <v>0</v>
      </c>
      <c r="BG160" s="624" t="b">
        <f t="shared" si="252"/>
        <v>0</v>
      </c>
      <c r="BH160" s="624" t="b">
        <f t="shared" si="253"/>
        <v>0</v>
      </c>
      <c r="BI160" s="624" t="b">
        <f t="shared" si="254"/>
        <v>0</v>
      </c>
      <c r="BJ160" s="624" t="b">
        <f t="shared" si="255"/>
        <v>0</v>
      </c>
      <c r="BK160" s="624" t="b">
        <f t="shared" si="256"/>
        <v>0</v>
      </c>
      <c r="BL160" s="624" t="b">
        <f t="shared" si="257"/>
        <v>0</v>
      </c>
      <c r="BM160" s="624" t="b">
        <f t="shared" si="258"/>
        <v>0</v>
      </c>
      <c r="BN160" s="624" t="b">
        <f t="shared" si="259"/>
        <v>0</v>
      </c>
      <c r="BO160" s="624" t="b">
        <f t="shared" si="260"/>
        <v>0</v>
      </c>
      <c r="BP160" s="624" t="b">
        <f t="shared" si="261"/>
        <v>0</v>
      </c>
      <c r="BQ160" s="624" t="b">
        <f t="shared" si="262"/>
        <v>0</v>
      </c>
    </row>
    <row r="161" spans="1:69" ht="8.25" customHeight="1">
      <c r="A161" s="1086">
        <v>79</v>
      </c>
      <c r="B161" s="872" t="s">
        <v>21</v>
      </c>
      <c r="C161" s="873" t="s">
        <v>634</v>
      </c>
      <c r="D161" s="645"/>
      <c r="E161" s="645">
        <v>32</v>
      </c>
      <c r="F161" s="644">
        <v>1960</v>
      </c>
      <c r="G161" s="644">
        <v>70</v>
      </c>
      <c r="H161" s="644"/>
      <c r="I161" s="635"/>
      <c r="J161" s="644">
        <f>IF(F161&lt;=1966,'Założenia,wskaźniki, listy'!$H$4,IF(F161&gt;1966,IF(F161&lt;=1985,'Założenia,wskaźniki, listy'!$H$5,IF(F161&gt;1985,IF(F161&lt;=1992,'Założenia,wskaźniki, listy'!$H$6,IF(F161&gt;1992,IF(F161&lt;=1996,'Założenia,wskaźniki, listy'!$H$7,IF(F161&gt;1996,IF(F161&lt;=2015,'Założenia,wskaźniki, listy'!$H$8)))))))))</f>
        <v>290</v>
      </c>
      <c r="K161" s="864" t="s">
        <v>33</v>
      </c>
      <c r="L161" s="644" t="s">
        <v>8</v>
      </c>
      <c r="M161" s="644">
        <v>2</v>
      </c>
      <c r="N161" s="644"/>
      <c r="O161" s="637">
        <f t="shared" si="240"/>
        <v>51.841999999999999</v>
      </c>
      <c r="P161" s="646">
        <f>IF(K161="kompletna",J161*G161*0.0036*'Założenia,wskaźniki, listy'!$P$9,IF(K161="częściowa",J161*G161*0.0036*'Założenia,wskaźniki, listy'!$P$10,IF(K161="brak",J161*G161*0.0036*'Założenia,wskaźniki, listy'!$P$11,0)))</f>
        <v>58.463999999999999</v>
      </c>
      <c r="Q161" s="638">
        <f>H161*'Założenia,wskaźniki, listy'!$L$15</f>
        <v>0</v>
      </c>
      <c r="R161" s="635">
        <f>IF(L161="węgiel",'Mieszkalne - baza'!M161*'Założenia,wskaźniki, listy'!$B$4,IF(L161="gaz",'Mieszkalne - baza'!M161*'Założenia,wskaźniki, listy'!$B$5,IF(L161="drewno",'Mieszkalne - baza'!M161*'Założenia,wskaźniki, listy'!$B$6,IF(L161="pelet",'Mieszkalne - baza'!M161*'Założenia,wskaźniki, listy'!$B$7,IF(L161="olej opałowy",'Mieszkalne - baza'!M161*'Założenia,wskaźniki, listy'!$B$8,IF(L161="sieć ciepłownicza",0,0))))))</f>
        <v>45.22</v>
      </c>
      <c r="S161" s="1084">
        <v>2.2560000000000002</v>
      </c>
      <c r="T161" s="639">
        <f>IF(L161="węgiel",R161*'Założenia,wskaźniki, listy'!$C$44,IF(L161="gaz",R161*'Założenia,wskaźniki, listy'!$D$44,IF(L161="drewno",R161*'Założenia,wskaźniki, listy'!$E$44,IF(L161="pelet",R161*'Założenia,wskaźniki, listy'!$F$44,IF(L161="olej opałowy",R161*'Założenia,wskaźniki, listy'!$G$44,IF(L161="sieć ciepłownicza",0,IF(L161="prąd",0,0)))))))</f>
        <v>1.01745E-2</v>
      </c>
      <c r="U161" s="639">
        <f>IF(L161="węgiel",R161*'Założenia,wskaźniki, listy'!$C$45,IF(L161="gaz",R161*'Założenia,wskaźniki, listy'!$D$45,IF(L161="drewno",R161*'Założenia,wskaźniki, listy'!$E$45,IF(L161="pelet",R161*'Założenia,wskaźniki, listy'!$F$45,IF(L161="olej opałowy",R161*'Założenia,wskaźniki, listy'!$G$45,IF(L161="sieć ciepłownicza",0,IF(L161="prąd",0,0)))))))</f>
        <v>9.0892200000000003E-3</v>
      </c>
      <c r="V161" s="639">
        <f>IF(L161="węgiel",R161*'Założenia,wskaźniki, listy'!$C$46,IF(L161="gaz",R161*'Założenia,wskaźniki, listy'!$D$46,IF(L161="drewno",R161*'Założenia,wskaźniki, listy'!$E$46,IF(L161="pelet",R161*'Założenia,wskaźniki, listy'!$F$46,IF(L161="olej opałowy",R161*'Założenia,wskaźniki, listy'!$G$46,IF(L161="sieć ciepłownicza",R161*'Założenia,wskaźniki, listy'!$H$46,IF(L161="prąd",R161*'Założenia,wskaźniki, listy'!$I$46,0)))))))</f>
        <v>4.2389227999999992</v>
      </c>
      <c r="W161" s="639">
        <f>IF(L161="węgiel",R161*'Założenia,wskaźniki, listy'!$C$47,IF(L161="gaz",R161*'Założenia,wskaźniki, listy'!$D$47,IF(L161="drewno",R161*'Założenia,wskaźniki, listy'!$E$47,IF(L161="pelet",R161*'Założenia,wskaźniki, listy'!$F$47,IF(L161="olej opałowy",R161*'Założenia,wskaźniki, listy'!$G$47,IF(L161="sieć ciepłownicza",0,IF(L161="prąd",0,0)))))))</f>
        <v>1.22094E-5</v>
      </c>
      <c r="X161" s="639">
        <f>IF(L161="węgiel",R161*'Założenia,wskaźniki, listy'!$C$48, IF(L161="gaz",R161*'Założenia,wskaźniki, listy'!$D$48,IF(L161="drewno",R161*'Założenia,wskaźniki, listy'!$E$48,IF(L161="pelet",R161*'Założenia,wskaźniki, listy'!$F$48,IF(L161="olej opałowy",R161*'Założenia,wskaźniki, listy'!$G$48,IF(L161="sieć ciepłownicza",0,IF(L161="prąd",0,0)))))))</f>
        <v>4.0697999999999998E-2</v>
      </c>
      <c r="Y161" s="639">
        <f>IF(L161="węgiel",R161*'Założenia,wskaźniki, listy'!$C$49, IF(L161="gaz",R161*'Założenia,wskaźniki, listy'!$D$49, IF(L161="drewno",R161*'Założenia,wskaźniki, listy'!$E$49,IF(L161="pelet",R161*'Założenia,wskaźniki, listy'!$F$49,IF(L161="olej opałowy",R161*'Założenia,wskaźniki, listy'!$G$49,IF(L161="sieć ciepłownicza",0,IF(L161="prąd",0,0)))))))</f>
        <v>7.1447599999999991E-3</v>
      </c>
      <c r="Z161" s="639">
        <f>IF(L161="węgiel",R161*'Założenia,wskaźniki, listy'!$C$50,IF(L161="gaz",R161*'Założenia,wskaźniki, listy'!$D$50, IF(L161="drewno",R161*'Założenia,wskaźniki, listy'!$E$50,IF(L161="pelet",R161*'Założenia,wskaźniki, listy'!$F$50,IF(L161="pelet",R161*'Założenia,wskaźniki, listy'!$F$50,IF(L161="olej opałowy",R161*'Założenia,wskaźniki, listy'!$G$50,IF(L161="sieć ciepłownicza",0,IF(L161="prąd",0,0))))))))</f>
        <v>9.0965578900312913E-2</v>
      </c>
      <c r="AA161" s="639">
        <f>IF(N161="węgiel",Q161*'Założenia,wskaźniki, listy'!$C$44,IF(N161="gaz",Q161*'Założenia,wskaźniki, listy'!$D$44,IF(N161="drewno",Q161*'Założenia,wskaźniki, listy'!$E$44,IF(N161="pelet",Q161*'Założenia,wskaźniki, listy'!$G$44,IF(N161="olej opałowy",Q161*'Założenia,wskaźniki, listy'!$G$44,IF(N161="sieć ciepłownicza",0,IF(N161="prąd",0,0)))))))</f>
        <v>0</v>
      </c>
      <c r="AB161" s="639">
        <f>IF(N161="węgiel",Q161*'Założenia,wskaźniki, listy'!$C$45,IF(N161="gaz",Q161*'Założenia,wskaźniki, listy'!$D$45,IF(N161="drewno",Q161*'Założenia,wskaźniki, listy'!$E$45,IF(N161="pelet",Q161*'Założenia,wskaźniki, listy'!$G$45,IF(N161="olej opałowy",Q161*'Założenia,wskaźniki, listy'!$G$45,IF(N161="sieć ciepłownicza",0,IF(N161="prąd",0,0)))))))</f>
        <v>0</v>
      </c>
      <c r="AC161" s="639">
        <f>IF(N161="węgiel",Q161*'Założenia,wskaźniki, listy'!$C$46,IF(N161="gaz",Q161*'Założenia,wskaźniki, listy'!$D$46,IF(N161="drewno",Q161*'Założenia,wskaźniki, listy'!$E$46,IF(N161="pelet",Q161*'Założenia,wskaźniki, listy'!$G$46,IF(N161="olej opałowy",Q161*'Założenia,wskaźniki, listy'!$G$46,IF(N161="sieć ciepłownicza",0,IF(N161="prąd",0,0)))))))</f>
        <v>0</v>
      </c>
      <c r="AD161" s="639">
        <f>IF(N161="węgiel",Q161*'Założenia,wskaźniki, listy'!$C$47,IF(N161="gaz",Q161*'Założenia,wskaźniki, listy'!$D$47,IF(N161="drewno",Q161*'Założenia,wskaźniki, listy'!$E$47,IF(N161="pelet",Q161*'Założenia,wskaźniki, listy'!$G$47,IF(N161="olej opałowy",Q161*'Założenia,wskaźniki, listy'!$G$47,IF(N161="sieć ciepłownicza",0,IF(N161="prąd",0,0)))))))</f>
        <v>0</v>
      </c>
      <c r="AE161" s="639">
        <f>IF(N161="węgiel",Q161*'Założenia,wskaźniki, listy'!$C$48,IF(N161="gaz",Q161*'Założenia,wskaźniki, listy'!$D$48,IF(N161="drewno",Q161*'Założenia,wskaźniki, listy'!$E$48,IF(N161="pelet",Q161*'Założenia,wskaźniki, listy'!$G$48,IF(N161="olej opałowy",Q161*'Założenia,wskaźniki, listy'!$G$48,IF(N161="sieć ciepłownicza",0,IF(N161="prąd",0,0)))))))</f>
        <v>0</v>
      </c>
      <c r="AF161" s="639">
        <f>IF(N161="węgiel",Q161*'Założenia,wskaźniki, listy'!$C$49,IF(N161="gaz",Q161*'Założenia,wskaźniki, listy'!$D$49,IF(N161="drewno",Q161*'Założenia,wskaźniki, listy'!$E$49,IF(N161="pelet",Q161*'Założenia,wskaźniki, listy'!$G$49,IF(N161="olej opałowy",Q161*'Założenia,wskaźniki, listy'!$G$49,IF(N161="sieć ciepłownicza",0,IF(N161="prąd",0,0)))))))</f>
        <v>0</v>
      </c>
      <c r="AG161" s="639">
        <f>IF(N161="węgiel",Q161*'Założenia,wskaźniki, listy'!$C$50,IF(N161="gaz",Q161*'Założenia,wskaźniki, listy'!$D$50,IF(N161="drewno",Q161*'Założenia,wskaźniki, listy'!$E$50,IF(N161="pelet",Q161*'Założenia,wskaźniki, listy'!$G$50,IF(N161="olej opałowy",Q161*'Założenia,wskaźniki, listy'!$G$50,IF(N161="sieć ciepłownicza",0,IF(N161="prąd",0,0)))))))</f>
        <v>0</v>
      </c>
      <c r="AH161" s="640">
        <f>IF(L161="węgiel",(P161+R161)/2*'Założenia,wskaźniki, listy'!$C$4,IF(L161="gaz",(P161+R161)/2*'Założenia,wskaźniki, listy'!$C$5,IF(L161="drewno",(P161+R161)/2*'Założenia,wskaźniki, listy'!$C$6,IF(L161="pelet",(P161+R161)/2*'Założenia,wskaźniki, listy'!$C$7,IF(L161="olej opałowy",(P161+R161)/2*'Założenia,wskaźniki, listy'!$C$8,IF(L161="sieć ciepłownicza",(P161+R161)/2*'Założenia,wskaźniki, listy'!$C$9,IF(L161="sieć ciepłownicza",(P161+R161)/2*'Założenia,wskaźniki, listy'!$C$10,)))))))</f>
        <v>2125.5219999999999</v>
      </c>
      <c r="AI161" s="640">
        <f>IF(N161="węgiel",Q161*'Założenia,wskaźniki, listy'!$C$4,IF(N161="gaz",Q161*'Założenia,wskaźniki, listy'!$C$5,IF(N161="drewno",Q161*'Założenia,wskaźniki, listy'!$C$6,IF(N161="pelet",Q161*'Założenia,wskaźniki, listy'!$C$7,IF(N161="olej opałowy",Q161*'Założenia,wskaźniki, listy'!$C$8,IF(N161="sieć ciepłownicza",Q161*'Założenia,wskaźniki, listy'!$C$9,IF(N161="sieć ciepłownicza",Q161*'Założenia,wskaźniki, listy'!$C$10,0)))))))</f>
        <v>0</v>
      </c>
      <c r="AJ161" s="640">
        <f>S161*'Założenia,wskaźniki, listy'!$B$64*1000</f>
        <v>1601.76</v>
      </c>
      <c r="AK161" s="640">
        <f>(H161+I161)*'Założenia,wskaźniki, listy'!$D$64*12</f>
        <v>0</v>
      </c>
      <c r="AL161" s="640">
        <f>AK161*'Założenia,wskaźniki, listy'!$F$64</f>
        <v>0</v>
      </c>
      <c r="AM161" s="639">
        <f t="shared" si="206"/>
        <v>1.01745E-2</v>
      </c>
      <c r="AN161" s="639">
        <f t="shared" si="207"/>
        <v>9.0892200000000003E-3</v>
      </c>
      <c r="AO161" s="639">
        <f>V161+AC161+S161*'Założenia,wskaźniki, listy'!$J$46</f>
        <v>6.1147867999999992</v>
      </c>
      <c r="AP161" s="639">
        <f t="shared" si="208"/>
        <v>1.22094E-5</v>
      </c>
      <c r="AQ161" s="639">
        <f t="shared" si="209"/>
        <v>4.0697999999999998E-2</v>
      </c>
      <c r="AR161" s="639">
        <f t="shared" si="210"/>
        <v>7.1447599999999991E-3</v>
      </c>
      <c r="AS161" s="639">
        <f t="shared" si="211"/>
        <v>9.0965578900312913E-2</v>
      </c>
      <c r="AT161" s="647"/>
      <c r="AU161" s="647"/>
      <c r="AV161" s="624">
        <f t="shared" si="241"/>
        <v>70</v>
      </c>
      <c r="AW161" s="624">
        <f t="shared" si="242"/>
        <v>35</v>
      </c>
      <c r="AX161" s="624" t="b">
        <f t="shared" si="243"/>
        <v>0</v>
      </c>
      <c r="AY161" s="624">
        <f t="shared" si="244"/>
        <v>0</v>
      </c>
      <c r="AZ161" s="624" t="b">
        <f t="shared" si="245"/>
        <v>0</v>
      </c>
      <c r="BA161" s="624">
        <f t="shared" si="246"/>
        <v>0</v>
      </c>
      <c r="BB161" s="624" t="b">
        <f t="shared" si="247"/>
        <v>0</v>
      </c>
      <c r="BC161" s="624">
        <f t="shared" si="248"/>
        <v>0</v>
      </c>
      <c r="BD161" s="624" t="b">
        <f t="shared" si="249"/>
        <v>0</v>
      </c>
      <c r="BE161" s="624">
        <f t="shared" si="250"/>
        <v>0</v>
      </c>
      <c r="BF161" s="624">
        <f t="shared" si="251"/>
        <v>45.22</v>
      </c>
      <c r="BG161" s="624" t="b">
        <f t="shared" si="252"/>
        <v>0</v>
      </c>
      <c r="BH161" s="624" t="b">
        <f t="shared" si="253"/>
        <v>0</v>
      </c>
      <c r="BI161" s="624" t="b">
        <f t="shared" si="254"/>
        <v>0</v>
      </c>
      <c r="BJ161" s="624" t="b">
        <f t="shared" si="255"/>
        <v>0</v>
      </c>
      <c r="BK161" s="624" t="b">
        <f t="shared" si="256"/>
        <v>0</v>
      </c>
      <c r="BL161" s="624" t="b">
        <f t="shared" si="257"/>
        <v>0</v>
      </c>
      <c r="BM161" s="624" t="b">
        <f t="shared" si="258"/>
        <v>0</v>
      </c>
      <c r="BN161" s="624" t="b">
        <f t="shared" si="259"/>
        <v>0</v>
      </c>
      <c r="BO161" s="624" t="b">
        <f t="shared" si="260"/>
        <v>0</v>
      </c>
      <c r="BP161" s="624" t="b">
        <f t="shared" si="261"/>
        <v>0</v>
      </c>
      <c r="BQ161" s="624" t="b">
        <f t="shared" si="262"/>
        <v>0</v>
      </c>
    </row>
    <row r="162" spans="1:69" ht="8.25" customHeight="1">
      <c r="A162" s="1086"/>
      <c r="B162" s="872"/>
      <c r="C162" s="874"/>
      <c r="D162" s="645"/>
      <c r="E162" s="645"/>
      <c r="F162" s="644"/>
      <c r="G162" s="644"/>
      <c r="H162" s="644"/>
      <c r="I162" s="635"/>
      <c r="J162" s="644">
        <f>IF(F162&lt;=1966,'Założenia,wskaźniki, listy'!$H$4,IF(F162&gt;1966,IF(F162&lt;=1985,'Założenia,wskaźniki, listy'!$H$5,IF(F162&gt;1985,IF(F162&lt;=1992,'Założenia,wskaźniki, listy'!$H$6,IF(F162&gt;1992,IF(F162&lt;=1996,'Założenia,wskaźniki, listy'!$H$7,IF(F162&gt;1996,IF(F162&lt;=2015,'Założenia,wskaźniki, listy'!$H$8)))))))))</f>
        <v>290</v>
      </c>
      <c r="K162" s="872"/>
      <c r="L162" s="644"/>
      <c r="M162" s="644"/>
      <c r="N162" s="644"/>
      <c r="O162" s="637">
        <f t="shared" ref="O162" si="291">IF(P162&gt;0,(Q162+R162+P162)/2,Q162+R162)</f>
        <v>0</v>
      </c>
      <c r="P162" s="646">
        <f>IF(K162="kompletna",J162*G162*0.0036*'Założenia,wskaźniki, listy'!$P$9,IF(K162="częściowa",J162*G162*0.0036*'Założenia,wskaźniki, listy'!$P$10,IF(K162="brak",J162*G162*0.0036*'Założenia,wskaźniki, listy'!$P$11,0)))</f>
        <v>0</v>
      </c>
      <c r="Q162" s="638">
        <f>H162*'Założenia,wskaźniki, listy'!$L$15</f>
        <v>0</v>
      </c>
      <c r="R162" s="635">
        <f>IF(L162="węgiel",'Mieszkalne - baza'!M162*'Założenia,wskaźniki, listy'!$B$4,IF(L162="gaz",'Mieszkalne - baza'!M162*'Założenia,wskaźniki, listy'!$B$5,IF(L162="drewno",'Mieszkalne - baza'!M162*'Założenia,wskaźniki, listy'!$B$6,IF(L162="pelet",'Mieszkalne - baza'!M162*'Założenia,wskaźniki, listy'!$B$7,IF(L162="olej opałowy",'Mieszkalne - baza'!M162*'Założenia,wskaźniki, listy'!$B$8,IF(L162="sieć ciepłownicza",0,0))))))</f>
        <v>0</v>
      </c>
      <c r="S162" s="1085"/>
      <c r="T162" s="639">
        <f>IF(L162="węgiel",R162*'Założenia,wskaźniki, listy'!$C$44,IF(L162="gaz",R162*'Założenia,wskaźniki, listy'!$D$44,IF(L162="drewno",R162*'Założenia,wskaźniki, listy'!$E$44,IF(L162="pelet",R162*'Założenia,wskaźniki, listy'!$F$44,IF(L162="olej opałowy",R162*'Założenia,wskaźniki, listy'!$G$44,IF(L162="sieć ciepłownicza",0,IF(L162="prąd",0,0)))))))</f>
        <v>0</v>
      </c>
      <c r="U162" s="639">
        <f>IF(L162="węgiel",R162*'Założenia,wskaźniki, listy'!$C$45,IF(L162="gaz",R162*'Założenia,wskaźniki, listy'!$D$45,IF(L162="drewno",R162*'Założenia,wskaźniki, listy'!$E$45,IF(L162="pelet",R162*'Założenia,wskaźniki, listy'!$F$45,IF(L162="olej opałowy",R162*'Założenia,wskaźniki, listy'!$G$45,IF(L162="sieć ciepłownicza",0,IF(L162="prąd",0,0)))))))</f>
        <v>0</v>
      </c>
      <c r="V162" s="639">
        <f>IF(L162="węgiel",R162*'Założenia,wskaźniki, listy'!$C$46,IF(L162="gaz",R162*'Założenia,wskaźniki, listy'!$D$46,IF(L162="drewno",R162*'Założenia,wskaźniki, listy'!$E$46,IF(L162="pelet",R162*'Założenia,wskaźniki, listy'!$F$46,IF(L162="olej opałowy",R162*'Założenia,wskaźniki, listy'!$G$46,IF(L162="sieć ciepłownicza",R162*'Założenia,wskaźniki, listy'!$H$46,IF(L162="prąd",R162*'Założenia,wskaźniki, listy'!$I$46,0)))))))</f>
        <v>0</v>
      </c>
      <c r="W162" s="639">
        <f>IF(L162="węgiel",R162*'Założenia,wskaźniki, listy'!$C$47,IF(L162="gaz",R162*'Założenia,wskaźniki, listy'!$D$47,IF(L162="drewno",R162*'Założenia,wskaźniki, listy'!$E$47,IF(L162="pelet",R162*'Założenia,wskaźniki, listy'!$F$47,IF(L162="olej opałowy",R162*'Założenia,wskaźniki, listy'!$G$47,IF(L162="sieć ciepłownicza",0,IF(L162="prąd",0,0)))))))</f>
        <v>0</v>
      </c>
      <c r="X162" s="639">
        <f>IF(L162="węgiel",R162*'Założenia,wskaźniki, listy'!$C$48, IF(L162="gaz",R162*'Założenia,wskaźniki, listy'!$D$48,IF(L162="drewno",R162*'Założenia,wskaźniki, listy'!$E$48,IF(L162="pelet",R162*'Założenia,wskaźniki, listy'!$F$48,IF(L162="olej opałowy",R162*'Założenia,wskaźniki, listy'!$G$48,IF(L162="sieć ciepłownicza",0,IF(L162="prąd",0,0)))))))</f>
        <v>0</v>
      </c>
      <c r="Y162" s="639">
        <f>IF(L162="węgiel",R162*'Założenia,wskaźniki, listy'!$C$49, IF(L162="gaz",R162*'Założenia,wskaźniki, listy'!$D$49, IF(L162="drewno",R162*'Założenia,wskaźniki, listy'!$E$49,IF(L162="pelet",R162*'Założenia,wskaźniki, listy'!$F$49,IF(L162="olej opałowy",R162*'Założenia,wskaźniki, listy'!$G$49,IF(L162="sieć ciepłownicza",0,IF(L162="prąd",0,0)))))))</f>
        <v>0</v>
      </c>
      <c r="Z162" s="639">
        <f>IF(L162="węgiel",R162*'Założenia,wskaźniki, listy'!$C$50,IF(L162="gaz",R162*'Założenia,wskaźniki, listy'!$D$50, IF(L162="drewno",R162*'Założenia,wskaźniki, listy'!$E$50,IF(L162="pelet",R162*'Założenia,wskaźniki, listy'!$F$50,IF(L162="pelet",R162*'Założenia,wskaźniki, listy'!$F$50,IF(L162="olej opałowy",R162*'Założenia,wskaźniki, listy'!$G$50,IF(L162="sieć ciepłownicza",0,IF(L162="prąd",0,0))))))))</f>
        <v>0</v>
      </c>
      <c r="AA162" s="639">
        <f>IF(N162="węgiel",Q162*'Założenia,wskaźniki, listy'!$C$44,IF(N162="gaz",Q162*'Założenia,wskaźniki, listy'!$D$44,IF(N162="drewno",Q162*'Założenia,wskaźniki, listy'!$E$44,IF(N162="pelet",Q162*'Założenia,wskaźniki, listy'!$G$44,IF(N162="olej opałowy",Q162*'Założenia,wskaźniki, listy'!$G$44,IF(N162="sieć ciepłownicza",0,IF(N162="prąd",0,0)))))))</f>
        <v>0</v>
      </c>
      <c r="AB162" s="639">
        <f>IF(N162="węgiel",Q162*'Założenia,wskaźniki, listy'!$C$45,IF(N162="gaz",Q162*'Założenia,wskaźniki, listy'!$D$45,IF(N162="drewno",Q162*'Założenia,wskaźniki, listy'!$E$45,IF(N162="pelet",Q162*'Założenia,wskaźniki, listy'!$G$45,IF(N162="olej opałowy",Q162*'Założenia,wskaźniki, listy'!$G$45,IF(N162="sieć ciepłownicza",0,IF(N162="prąd",0,0)))))))</f>
        <v>0</v>
      </c>
      <c r="AC162" s="639">
        <f>IF(N162="węgiel",Q162*'Założenia,wskaźniki, listy'!$C$46,IF(N162="gaz",Q162*'Założenia,wskaźniki, listy'!$D$46,IF(N162="drewno",Q162*'Założenia,wskaźniki, listy'!$E$46,IF(N162="pelet",Q162*'Założenia,wskaźniki, listy'!$G$46,IF(N162="olej opałowy",Q162*'Założenia,wskaźniki, listy'!$G$46,IF(N162="sieć ciepłownicza",0,IF(N162="prąd",0,0)))))))</f>
        <v>0</v>
      </c>
      <c r="AD162" s="639">
        <f>IF(N162="węgiel",Q162*'Założenia,wskaźniki, listy'!$C$47,IF(N162="gaz",Q162*'Założenia,wskaźniki, listy'!$D$47,IF(N162="drewno",Q162*'Założenia,wskaźniki, listy'!$E$47,IF(N162="pelet",Q162*'Założenia,wskaźniki, listy'!$G$47,IF(N162="olej opałowy",Q162*'Założenia,wskaźniki, listy'!$G$47,IF(N162="sieć ciepłownicza",0,IF(N162="prąd",0,0)))))))</f>
        <v>0</v>
      </c>
      <c r="AE162" s="639">
        <f>IF(N162="węgiel",Q162*'Założenia,wskaźniki, listy'!$C$48,IF(N162="gaz",Q162*'Założenia,wskaźniki, listy'!$D$48,IF(N162="drewno",Q162*'Założenia,wskaźniki, listy'!$E$48,IF(N162="pelet",Q162*'Założenia,wskaźniki, listy'!$G$48,IF(N162="olej opałowy",Q162*'Założenia,wskaźniki, listy'!$G$48,IF(N162="sieć ciepłownicza",0,IF(N162="prąd",0,0)))))))</f>
        <v>0</v>
      </c>
      <c r="AF162" s="639">
        <f>IF(N162="węgiel",Q162*'Założenia,wskaźniki, listy'!$C$49,IF(N162="gaz",Q162*'Założenia,wskaźniki, listy'!$D$49,IF(N162="drewno",Q162*'Założenia,wskaźniki, listy'!$E$49,IF(N162="pelet",Q162*'Założenia,wskaźniki, listy'!$G$49,IF(N162="olej opałowy",Q162*'Założenia,wskaźniki, listy'!$G$49,IF(N162="sieć ciepłownicza",0,IF(N162="prąd",0,0)))))))</f>
        <v>0</v>
      </c>
      <c r="AG162" s="639">
        <f>IF(N162="węgiel",Q162*'Założenia,wskaźniki, listy'!$C$50,IF(N162="gaz",Q162*'Założenia,wskaźniki, listy'!$D$50,IF(N162="drewno",Q162*'Założenia,wskaźniki, listy'!$E$50,IF(N162="pelet",Q162*'Założenia,wskaźniki, listy'!$G$50,IF(N162="olej opałowy",Q162*'Założenia,wskaźniki, listy'!$G$50,IF(N162="sieć ciepłownicza",0,IF(N162="prąd",0,0)))))))</f>
        <v>0</v>
      </c>
      <c r="AH162" s="640">
        <f>IF(L162="węgiel",(P162+R162)/2*'Założenia,wskaźniki, listy'!$C$4,IF(L162="gaz",(P162+R162)/2*'Założenia,wskaźniki, listy'!$C$5,IF(L162="drewno",(P162+R162)/2*'Założenia,wskaźniki, listy'!$C$6,IF(L162="pelet",(P162+R162)/2*'Założenia,wskaźniki, listy'!$C$7,IF(L162="olej opałowy",(P162+R162)/2*'Założenia,wskaźniki, listy'!$C$8,IF(L162="sieć ciepłownicza",(P162+R162)/2*'Założenia,wskaźniki, listy'!$C$9,IF(L162="sieć ciepłownicza",(P162+R162)/2*'Założenia,wskaźniki, listy'!$C$10,)))))))</f>
        <v>0</v>
      </c>
      <c r="AI162" s="640">
        <f>IF(N162="węgiel",Q162*'Założenia,wskaźniki, listy'!$C$4,IF(N162="gaz",Q162*'Założenia,wskaźniki, listy'!$C$5,IF(N162="drewno",Q162*'Założenia,wskaźniki, listy'!$C$6,IF(N162="pelet",Q162*'Założenia,wskaźniki, listy'!$C$7,IF(N162="olej opałowy",Q162*'Założenia,wskaźniki, listy'!$C$8,IF(N162="sieć ciepłownicza",Q162*'Założenia,wskaźniki, listy'!$C$9,IF(N162="sieć ciepłownicza",Q162*'Założenia,wskaźniki, listy'!$C$10,0)))))))</f>
        <v>0</v>
      </c>
      <c r="AJ162" s="640">
        <f>S162*'Założenia,wskaźniki, listy'!$B$64*1000</f>
        <v>0</v>
      </c>
      <c r="AK162" s="640">
        <f>(H162+I162)*'Założenia,wskaźniki, listy'!$D$64*12</f>
        <v>0</v>
      </c>
      <c r="AL162" s="640">
        <f>AK162*'Założenia,wskaźniki, listy'!$F$64</f>
        <v>0</v>
      </c>
      <c r="AM162" s="639">
        <f t="shared" ref="AM162" si="292">T162+AA162</f>
        <v>0</v>
      </c>
      <c r="AN162" s="639">
        <f t="shared" ref="AN162" si="293">U162+AB162</f>
        <v>0</v>
      </c>
      <c r="AO162" s="639">
        <f>V162+AC162+S162*'Założenia,wskaźniki, listy'!$J$46</f>
        <v>0</v>
      </c>
      <c r="AP162" s="639">
        <f t="shared" ref="AP162" si="294">W162+AD162</f>
        <v>0</v>
      </c>
      <c r="AQ162" s="639">
        <f t="shared" ref="AQ162" si="295">X162+AE162</f>
        <v>0</v>
      </c>
      <c r="AR162" s="639">
        <f t="shared" ref="AR162" si="296">Y162+AF162</f>
        <v>0</v>
      </c>
      <c r="AS162" s="639">
        <f t="shared" ref="AS162" si="297">Z162+AG162</f>
        <v>0</v>
      </c>
      <c r="AT162" s="647"/>
      <c r="AU162" s="647"/>
      <c r="AV162" s="624">
        <f t="shared" si="241"/>
        <v>0</v>
      </c>
      <c r="AW162" s="624" t="b">
        <f t="shared" si="242"/>
        <v>0</v>
      </c>
      <c r="AX162" s="624" t="b">
        <f t="shared" si="243"/>
        <v>0</v>
      </c>
      <c r="AY162" s="624" t="b">
        <f t="shared" si="244"/>
        <v>0</v>
      </c>
      <c r="AZ162" s="624" t="b">
        <f t="shared" si="245"/>
        <v>0</v>
      </c>
      <c r="BA162" s="624" t="b">
        <f t="shared" si="246"/>
        <v>0</v>
      </c>
      <c r="BB162" s="624" t="b">
        <f t="shared" si="247"/>
        <v>0</v>
      </c>
      <c r="BC162" s="624" t="b">
        <f t="shared" si="248"/>
        <v>0</v>
      </c>
      <c r="BD162" s="624" t="b">
        <f t="shared" si="249"/>
        <v>0</v>
      </c>
      <c r="BE162" s="624" t="b">
        <f t="shared" si="250"/>
        <v>0</v>
      </c>
      <c r="BF162" s="624" t="b">
        <f t="shared" si="251"/>
        <v>0</v>
      </c>
      <c r="BG162" s="624" t="b">
        <f t="shared" si="252"/>
        <v>0</v>
      </c>
      <c r="BH162" s="624" t="b">
        <f t="shared" si="253"/>
        <v>0</v>
      </c>
      <c r="BI162" s="624" t="b">
        <f t="shared" si="254"/>
        <v>0</v>
      </c>
      <c r="BJ162" s="624" t="b">
        <f t="shared" si="255"/>
        <v>0</v>
      </c>
      <c r="BK162" s="624" t="b">
        <f t="shared" si="256"/>
        <v>0</v>
      </c>
      <c r="BL162" s="624" t="b">
        <f t="shared" si="257"/>
        <v>0</v>
      </c>
      <c r="BM162" s="624" t="b">
        <f t="shared" si="258"/>
        <v>0</v>
      </c>
      <c r="BN162" s="624" t="b">
        <f t="shared" si="259"/>
        <v>0</v>
      </c>
      <c r="BO162" s="624" t="b">
        <f t="shared" si="260"/>
        <v>0</v>
      </c>
      <c r="BP162" s="624" t="b">
        <f t="shared" si="261"/>
        <v>0</v>
      </c>
      <c r="BQ162" s="624" t="b">
        <f t="shared" si="262"/>
        <v>0</v>
      </c>
    </row>
    <row r="163" spans="1:69" ht="8.25" customHeight="1">
      <c r="A163" s="1086">
        <v>80</v>
      </c>
      <c r="B163" s="872" t="s">
        <v>21</v>
      </c>
      <c r="C163" s="873" t="s">
        <v>634</v>
      </c>
      <c r="D163" s="645"/>
      <c r="E163" s="645">
        <v>33</v>
      </c>
      <c r="F163" s="644">
        <v>1979</v>
      </c>
      <c r="G163" s="644">
        <v>130</v>
      </c>
      <c r="H163" s="644"/>
      <c r="I163" s="635"/>
      <c r="J163" s="644">
        <f>IF(F163&lt;=1966,'Założenia,wskaźniki, listy'!$H$4,IF(F163&gt;1966,IF(F163&lt;=1985,'Założenia,wskaźniki, listy'!$H$5,IF(F163&gt;1985,IF(F163&lt;=1992,'Założenia,wskaźniki, listy'!$H$6,IF(F163&gt;1992,IF(F163&lt;=1996,'Założenia,wskaźniki, listy'!$H$7,IF(F163&gt;1996,IF(F163&lt;=2015,'Założenia,wskaźniki, listy'!$H$8)))))))))</f>
        <v>250</v>
      </c>
      <c r="K163" s="864" t="s">
        <v>32</v>
      </c>
      <c r="L163" s="644" t="s">
        <v>8</v>
      </c>
      <c r="M163" s="644">
        <v>3</v>
      </c>
      <c r="N163" s="644"/>
      <c r="O163" s="637">
        <f t="shared" si="240"/>
        <v>69.015000000000001</v>
      </c>
      <c r="P163" s="646">
        <f>IF(K163="kompletna",J163*G163*0.0036*'Założenia,wskaźniki, listy'!$P$9,IF(K163="częściowa",J163*G163*0.0036*'Założenia,wskaźniki, listy'!$P$10,IF(K163="brak",J163*G163*0.0036*'Założenia,wskaźniki, listy'!$P$11,0)))</f>
        <v>70.2</v>
      </c>
      <c r="Q163" s="638">
        <f>H163*'Założenia,wskaźniki, listy'!$L$15</f>
        <v>0</v>
      </c>
      <c r="R163" s="635">
        <f>IF(L163="węgiel",'Mieszkalne - baza'!M163*'Założenia,wskaźniki, listy'!$B$4,IF(L163="gaz",'Mieszkalne - baza'!M163*'Założenia,wskaźniki, listy'!$B$5,IF(L163="drewno",'Mieszkalne - baza'!M163*'Założenia,wskaźniki, listy'!$B$6,IF(L163="pelet",'Mieszkalne - baza'!M163*'Założenia,wskaźniki, listy'!$B$7,IF(L163="olej opałowy",'Mieszkalne - baza'!M163*'Założenia,wskaźniki, listy'!$B$8,IF(L163="sieć ciepłownicza",0,0))))))</f>
        <v>67.83</v>
      </c>
      <c r="S163" s="1084">
        <v>1.8048000000000002</v>
      </c>
      <c r="T163" s="639">
        <f>IF(L163="węgiel",R163*'Założenia,wskaźniki, listy'!$C$44,IF(L163="gaz",R163*'Założenia,wskaźniki, listy'!$D$44,IF(L163="drewno",R163*'Założenia,wskaźniki, listy'!$E$44,IF(L163="pelet",R163*'Założenia,wskaźniki, listy'!$F$44,IF(L163="olej opałowy",R163*'Założenia,wskaźniki, listy'!$G$44,IF(L163="sieć ciepłownicza",0,IF(L163="prąd",0,0)))))))</f>
        <v>1.5261749999999999E-2</v>
      </c>
      <c r="U163" s="639">
        <f>IF(L163="węgiel",R163*'Założenia,wskaźniki, listy'!$C$45,IF(L163="gaz",R163*'Założenia,wskaźniki, listy'!$D$45,IF(L163="drewno",R163*'Założenia,wskaźniki, listy'!$E$45,IF(L163="pelet",R163*'Założenia,wskaźniki, listy'!$F$45,IF(L163="olej opałowy",R163*'Założenia,wskaźniki, listy'!$G$45,IF(L163="sieć ciepłownicza",0,IF(L163="prąd",0,0)))))))</f>
        <v>1.363383E-2</v>
      </c>
      <c r="V163" s="639">
        <f>IF(L163="węgiel",R163*'Założenia,wskaźniki, listy'!$C$46,IF(L163="gaz",R163*'Założenia,wskaźniki, listy'!$D$46,IF(L163="drewno",R163*'Założenia,wskaźniki, listy'!$E$46,IF(L163="pelet",R163*'Założenia,wskaźniki, listy'!$F$46,IF(L163="olej opałowy",R163*'Założenia,wskaźniki, listy'!$G$46,IF(L163="sieć ciepłownicza",R163*'Założenia,wskaźniki, listy'!$H$46,IF(L163="prąd",R163*'Założenia,wskaźniki, listy'!$I$46,0)))))))</f>
        <v>6.3583841999999988</v>
      </c>
      <c r="W163" s="639">
        <f>IF(L163="węgiel",R163*'Założenia,wskaźniki, listy'!$C$47,IF(L163="gaz",R163*'Założenia,wskaźniki, listy'!$D$47,IF(L163="drewno",R163*'Założenia,wskaźniki, listy'!$E$47,IF(L163="pelet",R163*'Założenia,wskaźniki, listy'!$F$47,IF(L163="olej opałowy",R163*'Założenia,wskaźniki, listy'!$G$47,IF(L163="sieć ciepłownicza",0,IF(L163="prąd",0,0)))))))</f>
        <v>1.8314100000000001E-5</v>
      </c>
      <c r="X163" s="639">
        <f>IF(L163="węgiel",R163*'Założenia,wskaźniki, listy'!$C$48, IF(L163="gaz",R163*'Założenia,wskaźniki, listy'!$D$48,IF(L163="drewno",R163*'Założenia,wskaźniki, listy'!$E$48,IF(L163="pelet",R163*'Założenia,wskaźniki, listy'!$F$48,IF(L163="olej opałowy",R163*'Założenia,wskaźniki, listy'!$G$48,IF(L163="sieć ciepłownicza",0,IF(L163="prąd",0,0)))))))</f>
        <v>6.1046999999999997E-2</v>
      </c>
      <c r="Y163" s="639">
        <f>IF(L163="węgiel",R163*'Założenia,wskaźniki, listy'!$C$49, IF(L163="gaz",R163*'Założenia,wskaźniki, listy'!$D$49, IF(L163="drewno",R163*'Założenia,wskaźniki, listy'!$E$49,IF(L163="pelet",R163*'Założenia,wskaźniki, listy'!$F$49,IF(L163="olej opałowy",R163*'Założenia,wskaźniki, listy'!$G$49,IF(L163="sieć ciepłownicza",0,IF(L163="prąd",0,0)))))))</f>
        <v>1.071714E-2</v>
      </c>
      <c r="Z163" s="639">
        <f>IF(L163="węgiel",R163*'Założenia,wskaźniki, listy'!$C$50,IF(L163="gaz",R163*'Założenia,wskaźniki, listy'!$D$50, IF(L163="drewno",R163*'Założenia,wskaźniki, listy'!$E$50,IF(L163="pelet",R163*'Założenia,wskaźniki, listy'!$F$50,IF(L163="pelet",R163*'Założenia,wskaźniki, listy'!$F$50,IF(L163="olej opałowy",R163*'Założenia,wskaźniki, listy'!$G$50,IF(L163="sieć ciepłownicza",0,IF(L163="prąd",0,0))))))))</f>
        <v>0.13644836835046936</v>
      </c>
      <c r="AA163" s="639">
        <f>IF(N163="węgiel",Q163*'Założenia,wskaźniki, listy'!$C$44,IF(N163="gaz",Q163*'Założenia,wskaźniki, listy'!$D$44,IF(N163="drewno",Q163*'Założenia,wskaźniki, listy'!$E$44,IF(N163="pelet",Q163*'Założenia,wskaźniki, listy'!$G$44,IF(N163="olej opałowy",Q163*'Założenia,wskaźniki, listy'!$G$44,IF(N163="sieć ciepłownicza",0,IF(N163="prąd",0,0)))))))</f>
        <v>0</v>
      </c>
      <c r="AB163" s="639">
        <f>IF(N163="węgiel",Q163*'Założenia,wskaźniki, listy'!$C$45,IF(N163="gaz",Q163*'Założenia,wskaźniki, listy'!$D$45,IF(N163="drewno",Q163*'Założenia,wskaźniki, listy'!$E$45,IF(N163="pelet",Q163*'Założenia,wskaźniki, listy'!$G$45,IF(N163="olej opałowy",Q163*'Założenia,wskaźniki, listy'!$G$45,IF(N163="sieć ciepłownicza",0,IF(N163="prąd",0,0)))))))</f>
        <v>0</v>
      </c>
      <c r="AC163" s="639">
        <f>IF(N163="węgiel",Q163*'Założenia,wskaźniki, listy'!$C$46,IF(N163="gaz",Q163*'Założenia,wskaźniki, listy'!$D$46,IF(N163="drewno",Q163*'Założenia,wskaźniki, listy'!$E$46,IF(N163="pelet",Q163*'Założenia,wskaźniki, listy'!$G$46,IF(N163="olej opałowy",Q163*'Założenia,wskaźniki, listy'!$G$46,IF(N163="sieć ciepłownicza",0,IF(N163="prąd",0,0)))))))</f>
        <v>0</v>
      </c>
      <c r="AD163" s="639">
        <f>IF(N163="węgiel",Q163*'Założenia,wskaźniki, listy'!$C$47,IF(N163="gaz",Q163*'Założenia,wskaźniki, listy'!$D$47,IF(N163="drewno",Q163*'Założenia,wskaźniki, listy'!$E$47,IF(N163="pelet",Q163*'Założenia,wskaźniki, listy'!$G$47,IF(N163="olej opałowy",Q163*'Założenia,wskaźniki, listy'!$G$47,IF(N163="sieć ciepłownicza",0,IF(N163="prąd",0,0)))))))</f>
        <v>0</v>
      </c>
      <c r="AE163" s="639">
        <f>IF(N163="węgiel",Q163*'Założenia,wskaźniki, listy'!$C$48,IF(N163="gaz",Q163*'Założenia,wskaźniki, listy'!$D$48,IF(N163="drewno",Q163*'Założenia,wskaźniki, listy'!$E$48,IF(N163="pelet",Q163*'Założenia,wskaźniki, listy'!$G$48,IF(N163="olej opałowy",Q163*'Założenia,wskaźniki, listy'!$G$48,IF(N163="sieć ciepłownicza",0,IF(N163="prąd",0,0)))))))</f>
        <v>0</v>
      </c>
      <c r="AF163" s="639">
        <f>IF(N163="węgiel",Q163*'Założenia,wskaźniki, listy'!$C$49,IF(N163="gaz",Q163*'Założenia,wskaźniki, listy'!$D$49,IF(N163="drewno",Q163*'Założenia,wskaźniki, listy'!$E$49,IF(N163="pelet",Q163*'Założenia,wskaźniki, listy'!$G$49,IF(N163="olej opałowy",Q163*'Założenia,wskaźniki, listy'!$G$49,IF(N163="sieć ciepłownicza",0,IF(N163="prąd",0,0)))))))</f>
        <v>0</v>
      </c>
      <c r="AG163" s="639">
        <f>IF(N163="węgiel",Q163*'Założenia,wskaźniki, listy'!$C$50,IF(N163="gaz",Q163*'Założenia,wskaźniki, listy'!$D$50,IF(N163="drewno",Q163*'Założenia,wskaźniki, listy'!$E$50,IF(N163="pelet",Q163*'Założenia,wskaźniki, listy'!$G$50,IF(N163="olej opałowy",Q163*'Założenia,wskaźniki, listy'!$G$50,IF(N163="sieć ciepłownicza",0,IF(N163="prąd",0,0)))))))</f>
        <v>0</v>
      </c>
      <c r="AH163" s="640">
        <f>IF(L163="węgiel",(P163+R163)/2*'Założenia,wskaźniki, listy'!$C$4,IF(L163="gaz",(P163+R163)/2*'Założenia,wskaźniki, listy'!$C$5,IF(L163="drewno",(P163+R163)/2*'Założenia,wskaźniki, listy'!$C$6,IF(L163="pelet",(P163+R163)/2*'Założenia,wskaźniki, listy'!$C$7,IF(L163="olej opałowy",(P163+R163)/2*'Założenia,wskaźniki, listy'!$C$8,IF(L163="sieć ciepłownicza",(P163+R163)/2*'Założenia,wskaźniki, listy'!$C$9,IF(L163="sieć ciepłownicza",(P163+R163)/2*'Założenia,wskaźniki, listy'!$C$10,)))))))</f>
        <v>2829.6150000000002</v>
      </c>
      <c r="AI163" s="640">
        <f>IF(N163="węgiel",Q163*'Założenia,wskaźniki, listy'!$C$4,IF(N163="gaz",Q163*'Założenia,wskaźniki, listy'!$C$5,IF(N163="drewno",Q163*'Założenia,wskaźniki, listy'!$C$6,IF(N163="pelet",Q163*'Założenia,wskaźniki, listy'!$C$7,IF(N163="olej opałowy",Q163*'Założenia,wskaźniki, listy'!$C$8,IF(N163="sieć ciepłownicza",Q163*'Założenia,wskaźniki, listy'!$C$9,IF(N163="sieć ciepłownicza",Q163*'Założenia,wskaźniki, listy'!$C$10,0)))))))</f>
        <v>0</v>
      </c>
      <c r="AJ163" s="640">
        <f>S163*'Założenia,wskaźniki, listy'!$B$64*1000</f>
        <v>1281.4080000000001</v>
      </c>
      <c r="AK163" s="640">
        <f>(H163+I163)*'Założenia,wskaźniki, listy'!$D$64*12</f>
        <v>0</v>
      </c>
      <c r="AL163" s="640">
        <f>AK163*'Założenia,wskaźniki, listy'!$F$64</f>
        <v>0</v>
      </c>
      <c r="AM163" s="639">
        <f t="shared" si="206"/>
        <v>1.5261749999999999E-2</v>
      </c>
      <c r="AN163" s="639">
        <f t="shared" si="207"/>
        <v>1.363383E-2</v>
      </c>
      <c r="AO163" s="639">
        <f>V163+AC163+S163*'Założenia,wskaźniki, listy'!$J$46</f>
        <v>7.8590753999999992</v>
      </c>
      <c r="AP163" s="639">
        <f t="shared" si="208"/>
        <v>1.8314100000000001E-5</v>
      </c>
      <c r="AQ163" s="639">
        <f t="shared" si="209"/>
        <v>6.1046999999999997E-2</v>
      </c>
      <c r="AR163" s="639">
        <f t="shared" si="210"/>
        <v>1.071714E-2</v>
      </c>
      <c r="AS163" s="639">
        <f t="shared" si="211"/>
        <v>0.13644836835046936</v>
      </c>
      <c r="AT163" s="647"/>
      <c r="AU163" s="647"/>
      <c r="AV163" s="624" t="b">
        <f t="shared" si="241"/>
        <v>0</v>
      </c>
      <c r="AW163" s="624" t="b">
        <f t="shared" si="242"/>
        <v>0</v>
      </c>
      <c r="AX163" s="624">
        <f t="shared" si="243"/>
        <v>130</v>
      </c>
      <c r="AY163" s="624">
        <f t="shared" si="244"/>
        <v>130</v>
      </c>
      <c r="AZ163" s="624" t="b">
        <f t="shared" si="245"/>
        <v>0</v>
      </c>
      <c r="BA163" s="624" t="b">
        <f t="shared" si="246"/>
        <v>0</v>
      </c>
      <c r="BB163" s="624" t="b">
        <f t="shared" si="247"/>
        <v>0</v>
      </c>
      <c r="BC163" s="624" t="b">
        <f t="shared" si="248"/>
        <v>0</v>
      </c>
      <c r="BD163" s="624" t="b">
        <f t="shared" si="249"/>
        <v>0</v>
      </c>
      <c r="BE163" s="624" t="b">
        <f t="shared" si="250"/>
        <v>0</v>
      </c>
      <c r="BF163" s="624">
        <f t="shared" si="251"/>
        <v>67.83</v>
      </c>
      <c r="BG163" s="624" t="b">
        <f t="shared" si="252"/>
        <v>0</v>
      </c>
      <c r="BH163" s="624" t="b">
        <f t="shared" si="253"/>
        <v>0</v>
      </c>
      <c r="BI163" s="624" t="b">
        <f t="shared" si="254"/>
        <v>0</v>
      </c>
      <c r="BJ163" s="624" t="b">
        <f t="shared" si="255"/>
        <v>0</v>
      </c>
      <c r="BK163" s="624" t="b">
        <f t="shared" si="256"/>
        <v>0</v>
      </c>
      <c r="BL163" s="624" t="b">
        <f t="shared" si="257"/>
        <v>0</v>
      </c>
      <c r="BM163" s="624" t="b">
        <f t="shared" si="258"/>
        <v>0</v>
      </c>
      <c r="BN163" s="624" t="b">
        <f t="shared" si="259"/>
        <v>0</v>
      </c>
      <c r="BO163" s="624" t="b">
        <f t="shared" si="260"/>
        <v>0</v>
      </c>
      <c r="BP163" s="624" t="b">
        <f t="shared" si="261"/>
        <v>0</v>
      </c>
      <c r="BQ163" s="624" t="b">
        <f t="shared" si="262"/>
        <v>0</v>
      </c>
    </row>
    <row r="164" spans="1:69" ht="8.25" customHeight="1">
      <c r="A164" s="1086"/>
      <c r="B164" s="872"/>
      <c r="C164" s="872"/>
      <c r="D164" s="645"/>
      <c r="E164" s="645"/>
      <c r="F164" s="644"/>
      <c r="G164" s="644"/>
      <c r="H164" s="644"/>
      <c r="I164" s="635"/>
      <c r="J164" s="644">
        <f>IF(F164&lt;=1966,'Założenia,wskaźniki, listy'!$H$4,IF(F164&gt;1966,IF(F164&lt;=1985,'Założenia,wskaźniki, listy'!$H$5,IF(F164&gt;1985,IF(F164&lt;=1992,'Założenia,wskaźniki, listy'!$H$6,IF(F164&gt;1992,IF(F164&lt;=1996,'Założenia,wskaźniki, listy'!$H$7,IF(F164&gt;1996,IF(F164&lt;=2015,'Założenia,wskaźniki, listy'!$H$8)))))))))</f>
        <v>290</v>
      </c>
      <c r="K164" s="872"/>
      <c r="L164" s="644"/>
      <c r="M164" s="644">
        <v>1.5</v>
      </c>
      <c r="N164" s="644"/>
      <c r="O164" s="637">
        <f t="shared" ref="O164" si="298">IF(P164&gt;0,(Q164+R164+P164)/2,Q164+R164)</f>
        <v>0</v>
      </c>
      <c r="P164" s="646">
        <f>IF(K164="kompletna",J164*G164*0.0036*'Założenia,wskaźniki, listy'!$P$9,IF(K164="częściowa",J164*G164*0.0036*'Założenia,wskaźniki, listy'!$P$10,IF(K164="brak",J164*G164*0.0036*'Założenia,wskaźniki, listy'!$P$11,0)))</f>
        <v>0</v>
      </c>
      <c r="Q164" s="638">
        <f>H164*'Założenia,wskaźniki, listy'!$L$15</f>
        <v>0</v>
      </c>
      <c r="R164" s="635">
        <f>IF(L164="węgiel",'Mieszkalne - baza'!M164*'Założenia,wskaźniki, listy'!$B$4,IF(L164="gaz",'Mieszkalne - baza'!M164*'Założenia,wskaźniki, listy'!$B$5,IF(L164="drewno",'Mieszkalne - baza'!M164*'Założenia,wskaźniki, listy'!$B$6,IF(L164="pelet",'Mieszkalne - baza'!M164*'Założenia,wskaźniki, listy'!$B$7,IF(L164="olej opałowy",'Mieszkalne - baza'!M164*'Założenia,wskaźniki, listy'!$B$8,IF(L164="sieć ciepłownicza",0,0))))))</f>
        <v>0</v>
      </c>
      <c r="S164" s="1085"/>
      <c r="T164" s="639">
        <f>IF(L164="węgiel",R164*'Założenia,wskaźniki, listy'!$C$44,IF(L164="gaz",R164*'Założenia,wskaźniki, listy'!$D$44,IF(L164="drewno",R164*'Założenia,wskaźniki, listy'!$E$44,IF(L164="pelet",R164*'Założenia,wskaźniki, listy'!$F$44,IF(L164="olej opałowy",R164*'Założenia,wskaźniki, listy'!$G$44,IF(L164="sieć ciepłownicza",0,IF(L164="prąd",0,0)))))))</f>
        <v>0</v>
      </c>
      <c r="U164" s="639">
        <f>IF(L164="węgiel",R164*'Założenia,wskaźniki, listy'!$C$45,IF(L164="gaz",R164*'Założenia,wskaźniki, listy'!$D$45,IF(L164="drewno",R164*'Założenia,wskaźniki, listy'!$E$45,IF(L164="pelet",R164*'Założenia,wskaźniki, listy'!$F$45,IF(L164="olej opałowy",R164*'Założenia,wskaźniki, listy'!$G$45,IF(L164="sieć ciepłownicza",0,IF(L164="prąd",0,0)))))))</f>
        <v>0</v>
      </c>
      <c r="V164" s="639">
        <f>IF(L164="węgiel",R164*'Założenia,wskaźniki, listy'!$C$46,IF(L164="gaz",R164*'Założenia,wskaźniki, listy'!$D$46,IF(L164="drewno",R164*'Założenia,wskaźniki, listy'!$E$46,IF(L164="pelet",R164*'Założenia,wskaźniki, listy'!$F$46,IF(L164="olej opałowy",R164*'Założenia,wskaźniki, listy'!$G$46,IF(L164="sieć ciepłownicza",R164*'Założenia,wskaźniki, listy'!$H$46,IF(L164="prąd",R164*'Założenia,wskaźniki, listy'!$I$46,0)))))))</f>
        <v>0</v>
      </c>
      <c r="W164" s="639">
        <f>IF(L164="węgiel",R164*'Założenia,wskaźniki, listy'!$C$47,IF(L164="gaz",R164*'Założenia,wskaźniki, listy'!$D$47,IF(L164="drewno",R164*'Założenia,wskaźniki, listy'!$E$47,IF(L164="pelet",R164*'Założenia,wskaźniki, listy'!$F$47,IF(L164="olej opałowy",R164*'Założenia,wskaźniki, listy'!$G$47,IF(L164="sieć ciepłownicza",0,IF(L164="prąd",0,0)))))))</f>
        <v>0</v>
      </c>
      <c r="X164" s="639">
        <f>IF(L164="węgiel",R164*'Założenia,wskaźniki, listy'!$C$48, IF(L164="gaz",R164*'Założenia,wskaźniki, listy'!$D$48,IF(L164="drewno",R164*'Założenia,wskaźniki, listy'!$E$48,IF(L164="pelet",R164*'Założenia,wskaźniki, listy'!$F$48,IF(L164="olej opałowy",R164*'Założenia,wskaźniki, listy'!$G$48,IF(L164="sieć ciepłownicza",0,IF(L164="prąd",0,0)))))))</f>
        <v>0</v>
      </c>
      <c r="Y164" s="639">
        <f>IF(L164="węgiel",R164*'Założenia,wskaźniki, listy'!$C$49, IF(L164="gaz",R164*'Założenia,wskaźniki, listy'!$D$49, IF(L164="drewno",R164*'Założenia,wskaźniki, listy'!$E$49,IF(L164="pelet",R164*'Założenia,wskaźniki, listy'!$F$49,IF(L164="olej opałowy",R164*'Założenia,wskaźniki, listy'!$G$49,IF(L164="sieć ciepłownicza",0,IF(L164="prąd",0,0)))))))</f>
        <v>0</v>
      </c>
      <c r="Z164" s="639">
        <f>IF(L164="węgiel",R164*'Założenia,wskaźniki, listy'!$C$50,IF(L164="gaz",R164*'Założenia,wskaźniki, listy'!$D$50, IF(L164="drewno",R164*'Założenia,wskaźniki, listy'!$E$50,IF(L164="pelet",R164*'Założenia,wskaźniki, listy'!$F$50,IF(L164="pelet",R164*'Założenia,wskaźniki, listy'!$F$50,IF(L164="olej opałowy",R164*'Założenia,wskaźniki, listy'!$G$50,IF(L164="sieć ciepłownicza",0,IF(L164="prąd",0,0))))))))</f>
        <v>0</v>
      </c>
      <c r="AA164" s="639">
        <f>IF(N164="węgiel",Q164*'Założenia,wskaźniki, listy'!$C$44,IF(N164="gaz",Q164*'Założenia,wskaźniki, listy'!$D$44,IF(N164="drewno",Q164*'Założenia,wskaźniki, listy'!$E$44,IF(N164="pelet",Q164*'Założenia,wskaźniki, listy'!$G$44,IF(N164="olej opałowy",Q164*'Założenia,wskaźniki, listy'!$G$44,IF(N164="sieć ciepłownicza",0,IF(N164="prąd",0,0)))))))</f>
        <v>0</v>
      </c>
      <c r="AB164" s="639">
        <f>IF(N164="węgiel",Q164*'Założenia,wskaźniki, listy'!$C$45,IF(N164="gaz",Q164*'Założenia,wskaźniki, listy'!$D$45,IF(N164="drewno",Q164*'Założenia,wskaźniki, listy'!$E$45,IF(N164="pelet",Q164*'Założenia,wskaźniki, listy'!$G$45,IF(N164="olej opałowy",Q164*'Założenia,wskaźniki, listy'!$G$45,IF(N164="sieć ciepłownicza",0,IF(N164="prąd",0,0)))))))</f>
        <v>0</v>
      </c>
      <c r="AC164" s="639">
        <f>IF(N164="węgiel",Q164*'Założenia,wskaźniki, listy'!$C$46,IF(N164="gaz",Q164*'Założenia,wskaźniki, listy'!$D$46,IF(N164="drewno",Q164*'Założenia,wskaźniki, listy'!$E$46,IF(N164="pelet",Q164*'Założenia,wskaźniki, listy'!$G$46,IF(N164="olej opałowy",Q164*'Założenia,wskaźniki, listy'!$G$46,IF(N164="sieć ciepłownicza",0,IF(N164="prąd",0,0)))))))</f>
        <v>0</v>
      </c>
      <c r="AD164" s="639">
        <f>IF(N164="węgiel",Q164*'Założenia,wskaźniki, listy'!$C$47,IF(N164="gaz",Q164*'Założenia,wskaźniki, listy'!$D$47,IF(N164="drewno",Q164*'Założenia,wskaźniki, listy'!$E$47,IF(N164="pelet",Q164*'Założenia,wskaźniki, listy'!$G$47,IF(N164="olej opałowy",Q164*'Założenia,wskaźniki, listy'!$G$47,IF(N164="sieć ciepłownicza",0,IF(N164="prąd",0,0)))))))</f>
        <v>0</v>
      </c>
      <c r="AE164" s="639">
        <f>IF(N164="węgiel",Q164*'Założenia,wskaźniki, listy'!$C$48,IF(N164="gaz",Q164*'Założenia,wskaźniki, listy'!$D$48,IF(N164="drewno",Q164*'Założenia,wskaźniki, listy'!$E$48,IF(N164="pelet",Q164*'Założenia,wskaźniki, listy'!$G$48,IF(N164="olej opałowy",Q164*'Założenia,wskaźniki, listy'!$G$48,IF(N164="sieć ciepłownicza",0,IF(N164="prąd",0,0)))))))</f>
        <v>0</v>
      </c>
      <c r="AF164" s="639">
        <f>IF(N164="węgiel",Q164*'Założenia,wskaźniki, listy'!$C$49,IF(N164="gaz",Q164*'Założenia,wskaźniki, listy'!$D$49,IF(N164="drewno",Q164*'Założenia,wskaźniki, listy'!$E$49,IF(N164="pelet",Q164*'Założenia,wskaźniki, listy'!$G$49,IF(N164="olej opałowy",Q164*'Założenia,wskaźniki, listy'!$G$49,IF(N164="sieć ciepłownicza",0,IF(N164="prąd",0,0)))))))</f>
        <v>0</v>
      </c>
      <c r="AG164" s="639">
        <f>IF(N164="węgiel",Q164*'Założenia,wskaźniki, listy'!$C$50,IF(N164="gaz",Q164*'Założenia,wskaźniki, listy'!$D$50,IF(N164="drewno",Q164*'Założenia,wskaźniki, listy'!$E$50,IF(N164="pelet",Q164*'Założenia,wskaźniki, listy'!$G$50,IF(N164="olej opałowy",Q164*'Założenia,wskaźniki, listy'!$G$50,IF(N164="sieć ciepłownicza",0,IF(N164="prąd",0,0)))))))</f>
        <v>0</v>
      </c>
      <c r="AH164" s="640">
        <f>IF(L164="węgiel",(P164+R164)/2*'Założenia,wskaźniki, listy'!$C$4,IF(L164="gaz",(P164+R164)/2*'Założenia,wskaźniki, listy'!$C$5,IF(L164="drewno",(P164+R164)/2*'Założenia,wskaźniki, listy'!$C$6,IF(L164="pelet",(P164+R164)/2*'Założenia,wskaźniki, listy'!$C$7,IF(L164="olej opałowy",(P164+R164)/2*'Założenia,wskaźniki, listy'!$C$8,IF(L164="sieć ciepłownicza",(P164+R164)/2*'Założenia,wskaźniki, listy'!$C$9,IF(L164="sieć ciepłownicza",(P164+R164)/2*'Założenia,wskaźniki, listy'!$C$10,)))))))</f>
        <v>0</v>
      </c>
      <c r="AI164" s="640">
        <f>IF(N164="węgiel",Q164*'Założenia,wskaźniki, listy'!$C$4,IF(N164="gaz",Q164*'Założenia,wskaźniki, listy'!$C$5,IF(N164="drewno",Q164*'Założenia,wskaźniki, listy'!$C$6,IF(N164="pelet",Q164*'Założenia,wskaźniki, listy'!$C$7,IF(N164="olej opałowy",Q164*'Założenia,wskaźniki, listy'!$C$8,IF(N164="sieć ciepłownicza",Q164*'Założenia,wskaźniki, listy'!$C$9,IF(N164="sieć ciepłownicza",Q164*'Założenia,wskaźniki, listy'!$C$10,0)))))))</f>
        <v>0</v>
      </c>
      <c r="AJ164" s="640">
        <f>S164*'Założenia,wskaźniki, listy'!$B$64*1000</f>
        <v>0</v>
      </c>
      <c r="AK164" s="640">
        <f>(H164+I164)*'Założenia,wskaźniki, listy'!$D$64*12</f>
        <v>0</v>
      </c>
      <c r="AL164" s="640">
        <f>AK164*'Założenia,wskaźniki, listy'!$F$64</f>
        <v>0</v>
      </c>
      <c r="AM164" s="639">
        <f t="shared" ref="AM164" si="299">T164+AA164</f>
        <v>0</v>
      </c>
      <c r="AN164" s="639">
        <f t="shared" ref="AN164" si="300">U164+AB164</f>
        <v>0</v>
      </c>
      <c r="AO164" s="639">
        <f>V164+AC164+S164*'Założenia,wskaźniki, listy'!$J$46</f>
        <v>0</v>
      </c>
      <c r="AP164" s="639">
        <f t="shared" ref="AP164" si="301">W164+AD164</f>
        <v>0</v>
      </c>
      <c r="AQ164" s="639">
        <f t="shared" ref="AQ164" si="302">X164+AE164</f>
        <v>0</v>
      </c>
      <c r="AR164" s="639">
        <f t="shared" ref="AR164" si="303">Y164+AF164</f>
        <v>0</v>
      </c>
      <c r="AS164" s="639">
        <f t="shared" ref="AS164" si="304">Z164+AG164</f>
        <v>0</v>
      </c>
      <c r="AT164" s="647"/>
      <c r="AU164" s="647"/>
      <c r="AV164" s="624">
        <f t="shared" si="241"/>
        <v>0</v>
      </c>
      <c r="AW164" s="624" t="b">
        <f t="shared" si="242"/>
        <v>0</v>
      </c>
      <c r="AX164" s="624" t="b">
        <f t="shared" si="243"/>
        <v>0</v>
      </c>
      <c r="AY164" s="624" t="b">
        <f t="shared" si="244"/>
        <v>0</v>
      </c>
      <c r="AZ164" s="624" t="b">
        <f t="shared" si="245"/>
        <v>0</v>
      </c>
      <c r="BA164" s="624" t="b">
        <f t="shared" si="246"/>
        <v>0</v>
      </c>
      <c r="BB164" s="624" t="b">
        <f t="shared" si="247"/>
        <v>0</v>
      </c>
      <c r="BC164" s="624" t="b">
        <f t="shared" si="248"/>
        <v>0</v>
      </c>
      <c r="BD164" s="624" t="b">
        <f t="shared" si="249"/>
        <v>0</v>
      </c>
      <c r="BE164" s="624" t="b">
        <f t="shared" si="250"/>
        <v>0</v>
      </c>
      <c r="BF164" s="624" t="b">
        <f t="shared" si="251"/>
        <v>0</v>
      </c>
      <c r="BG164" s="624" t="b">
        <f t="shared" si="252"/>
        <v>0</v>
      </c>
      <c r="BH164" s="624" t="b">
        <f t="shared" si="253"/>
        <v>0</v>
      </c>
      <c r="BI164" s="624" t="b">
        <f t="shared" si="254"/>
        <v>0</v>
      </c>
      <c r="BJ164" s="624" t="b">
        <f t="shared" si="255"/>
        <v>0</v>
      </c>
      <c r="BK164" s="624" t="b">
        <f t="shared" si="256"/>
        <v>0</v>
      </c>
      <c r="BL164" s="624" t="b">
        <f t="shared" si="257"/>
        <v>0</v>
      </c>
      <c r="BM164" s="624" t="b">
        <f t="shared" si="258"/>
        <v>0</v>
      </c>
      <c r="BN164" s="624" t="b">
        <f t="shared" si="259"/>
        <v>0</v>
      </c>
      <c r="BO164" s="624" t="b">
        <f t="shared" si="260"/>
        <v>0</v>
      </c>
      <c r="BP164" s="624" t="b">
        <f t="shared" si="261"/>
        <v>0</v>
      </c>
      <c r="BQ164" s="624" t="b">
        <f t="shared" si="262"/>
        <v>0</v>
      </c>
    </row>
    <row r="165" spans="1:69" ht="8.25" customHeight="1">
      <c r="A165" s="1086">
        <v>81</v>
      </c>
      <c r="B165" s="872" t="s">
        <v>21</v>
      </c>
      <c r="C165" s="873" t="s">
        <v>634</v>
      </c>
      <c r="D165" s="645"/>
      <c r="E165" s="645">
        <v>34</v>
      </c>
      <c r="F165" s="644">
        <v>1980</v>
      </c>
      <c r="G165" s="644">
        <v>130</v>
      </c>
      <c r="H165" s="644"/>
      <c r="I165" s="635"/>
      <c r="J165" s="644">
        <f>IF(F165&lt;=1966,'Założenia,wskaźniki, listy'!$H$4,IF(F165&gt;1966,IF(F165&lt;=1985,'Założenia,wskaźniki, listy'!$H$5,IF(F165&gt;1985,IF(F165&lt;=1992,'Założenia,wskaźniki, listy'!$H$6,IF(F165&gt;1992,IF(F165&lt;=1996,'Założenia,wskaźniki, listy'!$H$7,IF(F165&gt;1996,IF(F165&lt;=2015,'Założenia,wskaźniki, listy'!$H$8)))))))))</f>
        <v>250</v>
      </c>
      <c r="K165" s="864" t="s">
        <v>33</v>
      </c>
      <c r="L165" s="644" t="s">
        <v>8</v>
      </c>
      <c r="M165" s="644">
        <v>2</v>
      </c>
      <c r="N165" s="644"/>
      <c r="O165" s="637">
        <f t="shared" si="240"/>
        <v>69.41</v>
      </c>
      <c r="P165" s="646">
        <f>IF(K165="kompletna",J165*G165*0.0036*'Założenia,wskaźniki, listy'!$P$9,IF(K165="częściowa",J165*G165*0.0036*'Założenia,wskaźniki, listy'!$P$10,IF(K165="brak",J165*G165*0.0036*'Założenia,wskaźniki, listy'!$P$11,0)))</f>
        <v>93.600000000000009</v>
      </c>
      <c r="Q165" s="638">
        <f>H165*'Założenia,wskaźniki, listy'!$L$15</f>
        <v>0</v>
      </c>
      <c r="R165" s="635">
        <f>IF(L165="węgiel",'Mieszkalne - baza'!M165*'Założenia,wskaźniki, listy'!$B$4,IF(L165="gaz",'Mieszkalne - baza'!M165*'Założenia,wskaźniki, listy'!$B$5,IF(L165="drewno",'Mieszkalne - baza'!M165*'Założenia,wskaźniki, listy'!$B$6,IF(L165="pelet",'Mieszkalne - baza'!M165*'Założenia,wskaźniki, listy'!$B$7,IF(L165="olej opałowy",'Mieszkalne - baza'!M165*'Założenia,wskaźniki, listy'!$B$8,IF(L165="sieć ciepłownicza",0,0))))))</f>
        <v>45.22</v>
      </c>
      <c r="S165" s="1084">
        <v>1.6355999999999999</v>
      </c>
      <c r="T165" s="639">
        <f>IF(L165="węgiel",R165*'Założenia,wskaźniki, listy'!$C$44,IF(L165="gaz",R165*'Założenia,wskaźniki, listy'!$D$44,IF(L165="drewno",R165*'Założenia,wskaźniki, listy'!$E$44,IF(L165="pelet",R165*'Założenia,wskaźniki, listy'!$F$44,IF(L165="olej opałowy",R165*'Założenia,wskaźniki, listy'!$G$44,IF(L165="sieć ciepłownicza",0,IF(L165="prąd",0,0)))))))</f>
        <v>1.01745E-2</v>
      </c>
      <c r="U165" s="639">
        <f>IF(L165="węgiel",R165*'Założenia,wskaźniki, listy'!$C$45,IF(L165="gaz",R165*'Założenia,wskaźniki, listy'!$D$45,IF(L165="drewno",R165*'Założenia,wskaźniki, listy'!$E$45,IF(L165="pelet",R165*'Założenia,wskaźniki, listy'!$F$45,IF(L165="olej opałowy",R165*'Założenia,wskaźniki, listy'!$G$45,IF(L165="sieć ciepłownicza",0,IF(L165="prąd",0,0)))))))</f>
        <v>9.0892200000000003E-3</v>
      </c>
      <c r="V165" s="639">
        <f>IF(L165="węgiel",R165*'Założenia,wskaźniki, listy'!$C$46,IF(L165="gaz",R165*'Założenia,wskaźniki, listy'!$D$46,IF(L165="drewno",R165*'Założenia,wskaźniki, listy'!$E$46,IF(L165="pelet",R165*'Założenia,wskaźniki, listy'!$F$46,IF(L165="olej opałowy",R165*'Założenia,wskaźniki, listy'!$G$46,IF(L165="sieć ciepłownicza",R165*'Założenia,wskaźniki, listy'!$H$46,IF(L165="prąd",R165*'Założenia,wskaźniki, listy'!$I$46,0)))))))</f>
        <v>4.2389227999999992</v>
      </c>
      <c r="W165" s="639">
        <f>IF(L165="węgiel",R165*'Założenia,wskaźniki, listy'!$C$47,IF(L165="gaz",R165*'Założenia,wskaźniki, listy'!$D$47,IF(L165="drewno",R165*'Założenia,wskaźniki, listy'!$E$47,IF(L165="pelet",R165*'Założenia,wskaźniki, listy'!$F$47,IF(L165="olej opałowy",R165*'Założenia,wskaźniki, listy'!$G$47,IF(L165="sieć ciepłownicza",0,IF(L165="prąd",0,0)))))))</f>
        <v>1.22094E-5</v>
      </c>
      <c r="X165" s="639">
        <f>IF(L165="węgiel",R165*'Założenia,wskaźniki, listy'!$C$48, IF(L165="gaz",R165*'Założenia,wskaźniki, listy'!$D$48,IF(L165="drewno",R165*'Założenia,wskaźniki, listy'!$E$48,IF(L165="pelet",R165*'Założenia,wskaźniki, listy'!$F$48,IF(L165="olej opałowy",R165*'Założenia,wskaźniki, listy'!$G$48,IF(L165="sieć ciepłownicza",0,IF(L165="prąd",0,0)))))))</f>
        <v>4.0697999999999998E-2</v>
      </c>
      <c r="Y165" s="639">
        <f>IF(L165="węgiel",R165*'Założenia,wskaźniki, listy'!$C$49, IF(L165="gaz",R165*'Założenia,wskaźniki, listy'!$D$49, IF(L165="drewno",R165*'Założenia,wskaźniki, listy'!$E$49,IF(L165="pelet",R165*'Założenia,wskaźniki, listy'!$F$49,IF(L165="olej opałowy",R165*'Założenia,wskaźniki, listy'!$G$49,IF(L165="sieć ciepłownicza",0,IF(L165="prąd",0,0)))))))</f>
        <v>7.1447599999999991E-3</v>
      </c>
      <c r="Z165" s="639">
        <f>IF(L165="węgiel",R165*'Założenia,wskaźniki, listy'!$C$50,IF(L165="gaz",R165*'Założenia,wskaźniki, listy'!$D$50, IF(L165="drewno",R165*'Założenia,wskaźniki, listy'!$E$50,IF(L165="pelet",R165*'Założenia,wskaźniki, listy'!$F$50,IF(L165="pelet",R165*'Założenia,wskaźniki, listy'!$F$50,IF(L165="olej opałowy",R165*'Założenia,wskaźniki, listy'!$G$50,IF(L165="sieć ciepłownicza",0,IF(L165="prąd",0,0))))))))</f>
        <v>9.0965578900312913E-2</v>
      </c>
      <c r="AA165" s="639">
        <f>IF(N165="węgiel",Q165*'Założenia,wskaźniki, listy'!$C$44,IF(N165="gaz",Q165*'Założenia,wskaźniki, listy'!$D$44,IF(N165="drewno",Q165*'Założenia,wskaźniki, listy'!$E$44,IF(N165="pelet",Q165*'Założenia,wskaźniki, listy'!$G$44,IF(N165="olej opałowy",Q165*'Założenia,wskaźniki, listy'!$G$44,IF(N165="sieć ciepłownicza",0,IF(N165="prąd",0,0)))))))</f>
        <v>0</v>
      </c>
      <c r="AB165" s="639">
        <f>IF(N165="węgiel",Q165*'Założenia,wskaźniki, listy'!$C$45,IF(N165="gaz",Q165*'Założenia,wskaźniki, listy'!$D$45,IF(N165="drewno",Q165*'Założenia,wskaźniki, listy'!$E$45,IF(N165="pelet",Q165*'Założenia,wskaźniki, listy'!$G$45,IF(N165="olej opałowy",Q165*'Założenia,wskaźniki, listy'!$G$45,IF(N165="sieć ciepłownicza",0,IF(N165="prąd",0,0)))))))</f>
        <v>0</v>
      </c>
      <c r="AC165" s="639">
        <f>IF(N165="węgiel",Q165*'Założenia,wskaźniki, listy'!$C$46,IF(N165="gaz",Q165*'Założenia,wskaźniki, listy'!$D$46,IF(N165="drewno",Q165*'Założenia,wskaźniki, listy'!$E$46,IF(N165="pelet",Q165*'Założenia,wskaźniki, listy'!$G$46,IF(N165="olej opałowy",Q165*'Założenia,wskaźniki, listy'!$G$46,IF(N165="sieć ciepłownicza",0,IF(N165="prąd",0,0)))))))</f>
        <v>0</v>
      </c>
      <c r="AD165" s="639">
        <f>IF(N165="węgiel",Q165*'Założenia,wskaźniki, listy'!$C$47,IF(N165="gaz",Q165*'Założenia,wskaźniki, listy'!$D$47,IF(N165="drewno",Q165*'Założenia,wskaźniki, listy'!$E$47,IF(N165="pelet",Q165*'Założenia,wskaźniki, listy'!$G$47,IF(N165="olej opałowy",Q165*'Założenia,wskaźniki, listy'!$G$47,IF(N165="sieć ciepłownicza",0,IF(N165="prąd",0,0)))))))</f>
        <v>0</v>
      </c>
      <c r="AE165" s="639">
        <f>IF(N165="węgiel",Q165*'Założenia,wskaźniki, listy'!$C$48,IF(N165="gaz",Q165*'Założenia,wskaźniki, listy'!$D$48,IF(N165="drewno",Q165*'Założenia,wskaźniki, listy'!$E$48,IF(N165="pelet",Q165*'Założenia,wskaźniki, listy'!$G$48,IF(N165="olej opałowy",Q165*'Założenia,wskaźniki, listy'!$G$48,IF(N165="sieć ciepłownicza",0,IF(N165="prąd",0,0)))))))</f>
        <v>0</v>
      </c>
      <c r="AF165" s="639">
        <f>IF(N165="węgiel",Q165*'Założenia,wskaźniki, listy'!$C$49,IF(N165="gaz",Q165*'Założenia,wskaźniki, listy'!$D$49,IF(N165="drewno",Q165*'Założenia,wskaźniki, listy'!$E$49,IF(N165="pelet",Q165*'Założenia,wskaźniki, listy'!$G$49,IF(N165="olej opałowy",Q165*'Założenia,wskaźniki, listy'!$G$49,IF(N165="sieć ciepłownicza",0,IF(N165="prąd",0,0)))))))</f>
        <v>0</v>
      </c>
      <c r="AG165" s="639">
        <f>IF(N165="węgiel",Q165*'Założenia,wskaźniki, listy'!$C$50,IF(N165="gaz",Q165*'Założenia,wskaźniki, listy'!$D$50,IF(N165="drewno",Q165*'Założenia,wskaźniki, listy'!$E$50,IF(N165="pelet",Q165*'Założenia,wskaźniki, listy'!$G$50,IF(N165="olej opałowy",Q165*'Założenia,wskaźniki, listy'!$G$50,IF(N165="sieć ciepłownicza",0,IF(N165="prąd",0,0)))))))</f>
        <v>0</v>
      </c>
      <c r="AH165" s="640">
        <f>IF(L165="węgiel",(P165+R165)/2*'Założenia,wskaźniki, listy'!$C$4,IF(L165="gaz",(P165+R165)/2*'Założenia,wskaźniki, listy'!$C$5,IF(L165="drewno",(P165+R165)/2*'Założenia,wskaźniki, listy'!$C$6,IF(L165="pelet",(P165+R165)/2*'Założenia,wskaźniki, listy'!$C$7,IF(L165="olej opałowy",(P165+R165)/2*'Założenia,wskaźniki, listy'!$C$8,IF(L165="sieć ciepłownicza",(P165+R165)/2*'Założenia,wskaźniki, listy'!$C$9,IF(L165="sieć ciepłownicza",(P165+R165)/2*'Założenia,wskaźniki, listy'!$C$10,)))))))</f>
        <v>2845.81</v>
      </c>
      <c r="AI165" s="640">
        <f>IF(N165="węgiel",Q165*'Założenia,wskaźniki, listy'!$C$4,IF(N165="gaz",Q165*'Założenia,wskaźniki, listy'!$C$5,IF(N165="drewno",Q165*'Założenia,wskaźniki, listy'!$C$6,IF(N165="pelet",Q165*'Założenia,wskaźniki, listy'!$C$7,IF(N165="olej opałowy",Q165*'Założenia,wskaźniki, listy'!$C$8,IF(N165="sieć ciepłownicza",Q165*'Założenia,wskaźniki, listy'!$C$9,IF(N165="sieć ciepłownicza",Q165*'Założenia,wskaźniki, listy'!$C$10,0)))))))</f>
        <v>0</v>
      </c>
      <c r="AJ165" s="640">
        <f>S165*'Założenia,wskaźniki, listy'!$B$64*1000</f>
        <v>1161.2760000000001</v>
      </c>
      <c r="AK165" s="640">
        <f>(H165+I165)*'Założenia,wskaźniki, listy'!$D$64*12</f>
        <v>0</v>
      </c>
      <c r="AL165" s="640">
        <f>AK165*'Założenia,wskaźniki, listy'!$F$64</f>
        <v>0</v>
      </c>
      <c r="AM165" s="639">
        <f t="shared" si="206"/>
        <v>1.01745E-2</v>
      </c>
      <c r="AN165" s="639">
        <f t="shared" si="207"/>
        <v>9.0892200000000003E-3</v>
      </c>
      <c r="AO165" s="639">
        <f>V165+AC165+S165*'Założenia,wskaźniki, listy'!$J$46</f>
        <v>5.598924199999999</v>
      </c>
      <c r="AP165" s="639">
        <f t="shared" si="208"/>
        <v>1.22094E-5</v>
      </c>
      <c r="AQ165" s="639">
        <f t="shared" si="209"/>
        <v>4.0697999999999998E-2</v>
      </c>
      <c r="AR165" s="639">
        <f t="shared" si="210"/>
        <v>7.1447599999999991E-3</v>
      </c>
      <c r="AS165" s="639">
        <f t="shared" si="211"/>
        <v>9.0965578900312913E-2</v>
      </c>
      <c r="AT165" s="647"/>
      <c r="AU165" s="647"/>
      <c r="AV165" s="624" t="b">
        <f t="shared" si="241"/>
        <v>0</v>
      </c>
      <c r="AW165" s="624">
        <f t="shared" si="242"/>
        <v>0</v>
      </c>
      <c r="AX165" s="624">
        <f t="shared" si="243"/>
        <v>130</v>
      </c>
      <c r="AY165" s="624">
        <f t="shared" si="244"/>
        <v>65</v>
      </c>
      <c r="AZ165" s="624" t="b">
        <f t="shared" si="245"/>
        <v>0</v>
      </c>
      <c r="BA165" s="624">
        <f t="shared" si="246"/>
        <v>0</v>
      </c>
      <c r="BB165" s="624" t="b">
        <f t="shared" si="247"/>
        <v>0</v>
      </c>
      <c r="BC165" s="624">
        <f t="shared" si="248"/>
        <v>0</v>
      </c>
      <c r="BD165" s="624" t="b">
        <f t="shared" si="249"/>
        <v>0</v>
      </c>
      <c r="BE165" s="624">
        <f t="shared" si="250"/>
        <v>0</v>
      </c>
      <c r="BF165" s="624">
        <f t="shared" si="251"/>
        <v>45.22</v>
      </c>
      <c r="BG165" s="624" t="b">
        <f t="shared" si="252"/>
        <v>0</v>
      </c>
      <c r="BH165" s="624" t="b">
        <f t="shared" si="253"/>
        <v>0</v>
      </c>
      <c r="BI165" s="624" t="b">
        <f t="shared" si="254"/>
        <v>0</v>
      </c>
      <c r="BJ165" s="624" t="b">
        <f t="shared" si="255"/>
        <v>0</v>
      </c>
      <c r="BK165" s="624" t="b">
        <f t="shared" si="256"/>
        <v>0</v>
      </c>
      <c r="BL165" s="624" t="b">
        <f t="shared" si="257"/>
        <v>0</v>
      </c>
      <c r="BM165" s="624" t="b">
        <f t="shared" si="258"/>
        <v>0</v>
      </c>
      <c r="BN165" s="624" t="b">
        <f t="shared" si="259"/>
        <v>0</v>
      </c>
      <c r="BO165" s="624" t="b">
        <f t="shared" si="260"/>
        <v>0</v>
      </c>
      <c r="BP165" s="624" t="b">
        <f t="shared" si="261"/>
        <v>0</v>
      </c>
      <c r="BQ165" s="624" t="b">
        <f t="shared" si="262"/>
        <v>0</v>
      </c>
    </row>
    <row r="166" spans="1:69" ht="8.25" customHeight="1">
      <c r="A166" s="1087"/>
      <c r="B166" s="872"/>
      <c r="C166" s="872"/>
      <c r="D166" s="645"/>
      <c r="E166" s="645"/>
      <c r="F166" s="644"/>
      <c r="G166" s="644"/>
      <c r="H166" s="644"/>
      <c r="I166" s="635"/>
      <c r="J166" s="644">
        <f>IF(F166&lt;=1966,'Założenia,wskaźniki, listy'!$H$4,IF(F166&gt;1966,IF(F166&lt;=1985,'Założenia,wskaźniki, listy'!$H$5,IF(F166&gt;1985,IF(F166&lt;=1992,'Założenia,wskaźniki, listy'!$H$6,IF(F166&gt;1992,IF(F166&lt;=1996,'Założenia,wskaźniki, listy'!$H$7,IF(F166&gt;1996,IF(F166&lt;=2015,'Założenia,wskaźniki, listy'!$H$8)))))))))</f>
        <v>290</v>
      </c>
      <c r="K166" s="872"/>
      <c r="L166" s="644" t="s">
        <v>79</v>
      </c>
      <c r="M166" s="644">
        <v>2</v>
      </c>
      <c r="N166" s="644"/>
      <c r="O166" s="637">
        <f t="shared" si="240"/>
        <v>30</v>
      </c>
      <c r="P166" s="646">
        <f>IF(K166="kompletna",J166*G166*0.0036*'Założenia,wskaźniki, listy'!$P$9,IF(K166="częściowa",J166*G166*0.0036*'Założenia,wskaźniki, listy'!$P$10,IF(K166="brak",J166*G166*0.0036*'Założenia,wskaźniki, listy'!$P$11,0)))</f>
        <v>0</v>
      </c>
      <c r="Q166" s="638">
        <f>H166*'Założenia,wskaźniki, listy'!$L$15</f>
        <v>0</v>
      </c>
      <c r="R166" s="635">
        <f>IF(L166="węgiel",'Mieszkalne - baza'!M166*'Założenia,wskaźniki, listy'!$B$4,IF(L166="gaz",'Mieszkalne - baza'!M166*'Założenia,wskaźniki, listy'!$B$5,IF(L166="drewno",'Mieszkalne - baza'!M166*'Założenia,wskaźniki, listy'!$B$6,IF(L166="pelet",'Mieszkalne - baza'!M166*'Założenia,wskaźniki, listy'!$B$7,IF(L166="olej opałowy",'Mieszkalne - baza'!M166*'Założenia,wskaźniki, listy'!$B$8,IF(L166="sieć ciepłownicza",0,0))))))</f>
        <v>30</v>
      </c>
      <c r="S166" s="1085"/>
      <c r="T166" s="639">
        <f>IF(L166="węgiel",R166*'Założenia,wskaźniki, listy'!$C$44,IF(L166="gaz",R166*'Założenia,wskaźniki, listy'!$D$44,IF(L166="drewno",R166*'Założenia,wskaźniki, listy'!$E$44,IF(L166="pelet",R166*'Założenia,wskaźniki, listy'!$F$44,IF(L166="olej opałowy",R166*'Założenia,wskaźniki, listy'!$G$44,IF(L166="sieć ciepłownicza",0,IF(L166="prąd",0,0)))))))</f>
        <v>1.44E-2</v>
      </c>
      <c r="U166" s="639">
        <f>IF(L166="węgiel",R166*'Założenia,wskaźniki, listy'!$C$45,IF(L166="gaz",R166*'Założenia,wskaźniki, listy'!$D$45,IF(L166="drewno",R166*'Założenia,wskaźniki, listy'!$E$45,IF(L166="pelet",R166*'Założenia,wskaźniki, listy'!$F$45,IF(L166="olej opałowy",R166*'Założenia,wskaźniki, listy'!$G$45,IF(L166="sieć ciepłownicza",0,IF(L166="prąd",0,0)))))))</f>
        <v>1.41E-2</v>
      </c>
      <c r="V166" s="639">
        <f>IF(L166="węgiel",R166*'Założenia,wskaźniki, listy'!$C$46,IF(L166="gaz",R166*'Założenia,wskaźniki, listy'!$D$46,IF(L166="drewno",R166*'Założenia,wskaźniki, listy'!$E$46,IF(L166="pelet",R166*'Założenia,wskaźniki, listy'!$F$46,IF(L166="olej opałowy",R166*'Założenia,wskaźniki, listy'!$G$46,IF(L166="sieć ciepłownicza",R166*'Założenia,wskaźniki, listy'!$H$46,IF(L166="prąd",R166*'Założenia,wskaźniki, listy'!$I$46,0)))))))</f>
        <v>0</v>
      </c>
      <c r="W166" s="639">
        <f>IF(L166="węgiel",R166*'Założenia,wskaźniki, listy'!$C$47,IF(L166="gaz",R166*'Założenia,wskaźniki, listy'!$D$47,IF(L166="drewno",R166*'Założenia,wskaźniki, listy'!$E$47,IF(L166="pelet",R166*'Założenia,wskaźniki, listy'!$F$47,IF(L166="olej opałowy",R166*'Założenia,wskaźniki, listy'!$G$47,IF(L166="sieć ciepłownicza",0,IF(L166="prąd",0,0)))))))</f>
        <v>3.6300000000000004E-6</v>
      </c>
      <c r="X166" s="639">
        <f>IF(L166="węgiel",R166*'Założenia,wskaźniki, listy'!$C$48, IF(L166="gaz",R166*'Założenia,wskaźniki, listy'!$D$48,IF(L166="drewno",R166*'Założenia,wskaźniki, listy'!$E$48,IF(L166="pelet",R166*'Założenia,wskaźniki, listy'!$F$48,IF(L166="olej opałowy",R166*'Założenia,wskaźniki, listy'!$G$48,IF(L166="sieć ciepłownicza",0,IF(L166="prąd",0,0)))))))</f>
        <v>3.3E-4</v>
      </c>
      <c r="Y166" s="639">
        <f>IF(L166="węgiel",R166*'Założenia,wskaźniki, listy'!$C$49, IF(L166="gaz",R166*'Założenia,wskaźniki, listy'!$D$49, IF(L166="drewno",R166*'Założenia,wskaźniki, listy'!$E$49,IF(L166="pelet",R166*'Założenia,wskaźniki, listy'!$F$49,IF(L166="olej opałowy",R166*'Założenia,wskaźniki, listy'!$G$49,IF(L166="sieć ciepłownicza",0,IF(L166="prąd",0,0)))))))</f>
        <v>2.4000000000000002E-3</v>
      </c>
      <c r="Z166" s="639">
        <f>IF(L166="węgiel",R166*'Założenia,wskaźniki, listy'!$C$50,IF(L166="gaz",R166*'Założenia,wskaźniki, listy'!$D$50, IF(L166="drewno",R166*'Założenia,wskaźniki, listy'!$E$50,IF(L166="pelet",R166*'Założenia,wskaźniki, listy'!$F$50,IF(L166="pelet",R166*'Założenia,wskaźniki, listy'!$F$50,IF(L166="olej opałowy",R166*'Założenia,wskaźniki, listy'!$G$50,IF(L166="sieć ciepłownicza",0,IF(L166="prąd",0,0))))))))</f>
        <v>5.3819999999999996E-3</v>
      </c>
      <c r="AA166" s="639">
        <f>IF(N166="węgiel",Q166*'Założenia,wskaźniki, listy'!$C$44,IF(N166="gaz",Q166*'Założenia,wskaźniki, listy'!$D$44,IF(N166="drewno",Q166*'Założenia,wskaźniki, listy'!$E$44,IF(N166="pelet",Q166*'Założenia,wskaźniki, listy'!$G$44,IF(N166="olej opałowy",Q166*'Założenia,wskaźniki, listy'!$G$44,IF(N166="sieć ciepłownicza",0,IF(N166="prąd",0,0)))))))</f>
        <v>0</v>
      </c>
      <c r="AB166" s="639">
        <f>IF(N166="węgiel",Q166*'Założenia,wskaźniki, listy'!$C$45,IF(N166="gaz",Q166*'Założenia,wskaźniki, listy'!$D$45,IF(N166="drewno",Q166*'Założenia,wskaźniki, listy'!$E$45,IF(N166="pelet",Q166*'Założenia,wskaźniki, listy'!$G$45,IF(N166="olej opałowy",Q166*'Założenia,wskaźniki, listy'!$G$45,IF(N166="sieć ciepłownicza",0,IF(N166="prąd",0,0)))))))</f>
        <v>0</v>
      </c>
      <c r="AC166" s="639">
        <f>IF(N166="węgiel",Q166*'Założenia,wskaźniki, listy'!$C$46,IF(N166="gaz",Q166*'Założenia,wskaźniki, listy'!$D$46,IF(N166="drewno",Q166*'Założenia,wskaźniki, listy'!$E$46,IF(N166="pelet",Q166*'Założenia,wskaźniki, listy'!$G$46,IF(N166="olej opałowy",Q166*'Założenia,wskaźniki, listy'!$G$46,IF(N166="sieć ciepłownicza",0,IF(N166="prąd",0,0)))))))</f>
        <v>0</v>
      </c>
      <c r="AD166" s="639">
        <f>IF(N166="węgiel",Q166*'Założenia,wskaźniki, listy'!$C$47,IF(N166="gaz",Q166*'Założenia,wskaźniki, listy'!$D$47,IF(N166="drewno",Q166*'Założenia,wskaźniki, listy'!$E$47,IF(N166="pelet",Q166*'Założenia,wskaźniki, listy'!$G$47,IF(N166="olej opałowy",Q166*'Założenia,wskaźniki, listy'!$G$47,IF(N166="sieć ciepłownicza",0,IF(N166="prąd",0,0)))))))</f>
        <v>0</v>
      </c>
      <c r="AE166" s="639">
        <f>IF(N166="węgiel",Q166*'Założenia,wskaźniki, listy'!$C$48,IF(N166="gaz",Q166*'Założenia,wskaźniki, listy'!$D$48,IF(N166="drewno",Q166*'Założenia,wskaźniki, listy'!$E$48,IF(N166="pelet",Q166*'Założenia,wskaźniki, listy'!$G$48,IF(N166="olej opałowy",Q166*'Założenia,wskaźniki, listy'!$G$48,IF(N166="sieć ciepłownicza",0,IF(N166="prąd",0,0)))))))</f>
        <v>0</v>
      </c>
      <c r="AF166" s="639">
        <f>IF(N166="węgiel",Q166*'Założenia,wskaźniki, listy'!$C$49,IF(N166="gaz",Q166*'Założenia,wskaźniki, listy'!$D$49,IF(N166="drewno",Q166*'Założenia,wskaźniki, listy'!$E$49,IF(N166="pelet",Q166*'Założenia,wskaźniki, listy'!$G$49,IF(N166="olej opałowy",Q166*'Założenia,wskaźniki, listy'!$G$49,IF(N166="sieć ciepłownicza",0,IF(N166="prąd",0,0)))))))</f>
        <v>0</v>
      </c>
      <c r="AG166" s="639">
        <f>IF(N166="węgiel",Q166*'Założenia,wskaźniki, listy'!$C$50,IF(N166="gaz",Q166*'Założenia,wskaźniki, listy'!$D$50,IF(N166="drewno",Q166*'Założenia,wskaźniki, listy'!$E$50,IF(N166="pelet",Q166*'Założenia,wskaźniki, listy'!$G$50,IF(N166="olej opałowy",Q166*'Założenia,wskaźniki, listy'!$G$50,IF(N166="sieć ciepłownicza",0,IF(N166="prąd",0,0)))))))</f>
        <v>0</v>
      </c>
      <c r="AH166" s="640">
        <f>IF(L166="węgiel",(P166+R166)/2*'Założenia,wskaźniki, listy'!$C$4,IF(L166="gaz",(P166+R166)/2*'Założenia,wskaźniki, listy'!$C$5,IF(L166="drewno",(P166+R166)/2*'Założenia,wskaźniki, listy'!$C$6,IF(L166="pelet",(P166+R166)/2*'Założenia,wskaźniki, listy'!$C$7,IF(L166="olej opałowy",(P166+R166)/2*'Założenia,wskaźniki, listy'!$C$8,IF(L166="sieć ciepłownicza",(P166+R166)/2*'Założenia,wskaźniki, listy'!$C$9,IF(L166="sieć ciepłownicza",(P166+R166)/2*'Założenia,wskaźniki, listy'!$C$10,)))))))</f>
        <v>570</v>
      </c>
      <c r="AI166" s="640">
        <f>IF(N166="węgiel",Q166*'Założenia,wskaźniki, listy'!$C$4,IF(N166="gaz",Q166*'Założenia,wskaźniki, listy'!$C$5,IF(N166="drewno",Q166*'Założenia,wskaźniki, listy'!$C$6,IF(N166="pelet",Q166*'Założenia,wskaźniki, listy'!$C$7,IF(N166="olej opałowy",Q166*'Założenia,wskaźniki, listy'!$C$8,IF(N166="sieć ciepłownicza",Q166*'Założenia,wskaźniki, listy'!$C$9,IF(N166="sieć ciepłownicza",Q166*'Założenia,wskaźniki, listy'!$C$10,0)))))))</f>
        <v>0</v>
      </c>
      <c r="AJ166" s="640">
        <f>S166*'Założenia,wskaźniki, listy'!$B$64*1000</f>
        <v>0</v>
      </c>
      <c r="AK166" s="640">
        <f>(H166+I166)*'Założenia,wskaźniki, listy'!$D$64*12</f>
        <v>0</v>
      </c>
      <c r="AL166" s="640">
        <f>AK166*'Założenia,wskaźniki, listy'!$F$64</f>
        <v>0</v>
      </c>
      <c r="AM166" s="639">
        <f t="shared" si="206"/>
        <v>1.44E-2</v>
      </c>
      <c r="AN166" s="639">
        <f t="shared" si="207"/>
        <v>1.41E-2</v>
      </c>
      <c r="AO166" s="639">
        <f>V166+AC166+S166*'Założenia,wskaźniki, listy'!$J$46</f>
        <v>0</v>
      </c>
      <c r="AP166" s="639">
        <f t="shared" si="208"/>
        <v>3.6300000000000004E-6</v>
      </c>
      <c r="AQ166" s="639">
        <f t="shared" si="209"/>
        <v>3.3E-4</v>
      </c>
      <c r="AR166" s="639">
        <f t="shared" si="210"/>
        <v>2.4000000000000002E-3</v>
      </c>
      <c r="AS166" s="639">
        <f t="shared" si="211"/>
        <v>5.3819999999999996E-3</v>
      </c>
      <c r="AT166" s="647"/>
      <c r="AU166" s="647"/>
      <c r="AV166" s="624">
        <f t="shared" si="241"/>
        <v>0</v>
      </c>
      <c r="AW166" s="624" t="b">
        <f t="shared" si="242"/>
        <v>0</v>
      </c>
      <c r="AX166" s="624" t="b">
        <f t="shared" si="243"/>
        <v>0</v>
      </c>
      <c r="AY166" s="624" t="b">
        <f t="shared" si="244"/>
        <v>0</v>
      </c>
      <c r="AZ166" s="624" t="b">
        <f t="shared" si="245"/>
        <v>0</v>
      </c>
      <c r="BA166" s="624" t="b">
        <f t="shared" si="246"/>
        <v>0</v>
      </c>
      <c r="BB166" s="624" t="b">
        <f t="shared" si="247"/>
        <v>0</v>
      </c>
      <c r="BC166" s="624" t="b">
        <f t="shared" si="248"/>
        <v>0</v>
      </c>
      <c r="BD166" s="624" t="b">
        <f t="shared" si="249"/>
        <v>0</v>
      </c>
      <c r="BE166" s="624" t="b">
        <f t="shared" si="250"/>
        <v>0</v>
      </c>
      <c r="BF166" s="624" t="b">
        <f t="shared" si="251"/>
        <v>0</v>
      </c>
      <c r="BG166" s="624" t="b">
        <f t="shared" si="252"/>
        <v>0</v>
      </c>
      <c r="BH166" s="624">
        <f t="shared" si="253"/>
        <v>30</v>
      </c>
      <c r="BI166" s="624" t="b">
        <f t="shared" si="254"/>
        <v>0</v>
      </c>
      <c r="BJ166" s="624" t="b">
        <f t="shared" si="255"/>
        <v>0</v>
      </c>
      <c r="BK166" s="624" t="b">
        <f t="shared" si="256"/>
        <v>0</v>
      </c>
      <c r="BL166" s="624" t="b">
        <f t="shared" si="257"/>
        <v>0</v>
      </c>
      <c r="BM166" s="624" t="b">
        <f t="shared" si="258"/>
        <v>0</v>
      </c>
      <c r="BN166" s="624" t="b">
        <f t="shared" si="259"/>
        <v>0</v>
      </c>
      <c r="BO166" s="624" t="b">
        <f t="shared" si="260"/>
        <v>0</v>
      </c>
      <c r="BP166" s="624" t="b">
        <f t="shared" si="261"/>
        <v>0</v>
      </c>
      <c r="BQ166" s="624" t="b">
        <f t="shared" si="262"/>
        <v>0</v>
      </c>
    </row>
    <row r="167" spans="1:69" ht="8.25" customHeight="1">
      <c r="A167" s="1086">
        <v>82</v>
      </c>
      <c r="B167" s="872" t="s">
        <v>21</v>
      </c>
      <c r="C167" s="873" t="s">
        <v>634</v>
      </c>
      <c r="D167" s="645"/>
      <c r="E167" s="645">
        <v>35</v>
      </c>
      <c r="F167" s="644">
        <v>2001</v>
      </c>
      <c r="G167" s="644">
        <v>200</v>
      </c>
      <c r="H167" s="644"/>
      <c r="I167" s="635"/>
      <c r="J167" s="644">
        <f>IF(F167&lt;=1966,'Założenia,wskaźniki, listy'!$H$4,IF(F167&gt;1966,IF(F167&lt;=1985,'Założenia,wskaźniki, listy'!$H$5,IF(F167&gt;1985,IF(F167&lt;=1992,'Założenia,wskaźniki, listy'!$H$6,IF(F167&gt;1992,IF(F167&lt;=1996,'Założenia,wskaźniki, listy'!$H$7,IF(F167&gt;1996,IF(F167&lt;=2015,'Założenia,wskaźniki, listy'!$H$8)))))))))</f>
        <v>115</v>
      </c>
      <c r="K167" s="864" t="s">
        <v>31</v>
      </c>
      <c r="L167" s="644" t="s">
        <v>8</v>
      </c>
      <c r="M167" s="644">
        <v>3</v>
      </c>
      <c r="N167" s="644"/>
      <c r="O167" s="637">
        <f t="shared" si="240"/>
        <v>75.314999999999998</v>
      </c>
      <c r="P167" s="646">
        <f>IF(K167="kompletna",J167*G167*0.0036*'Założenia,wskaźniki, listy'!$P$9,IF(K167="częściowa",J167*G167*0.0036*'Założenia,wskaźniki, listy'!$P$10,IF(K167="brak",J167*G167*0.0036*'Założenia,wskaźniki, listy'!$P$11,0)))</f>
        <v>82.8</v>
      </c>
      <c r="Q167" s="638">
        <f>H167*'Założenia,wskaźniki, listy'!$L$15</f>
        <v>0</v>
      </c>
      <c r="R167" s="635">
        <f>IF(L167="węgiel",'Mieszkalne - baza'!M167*'Założenia,wskaźniki, listy'!$B$4,IF(L167="gaz",'Mieszkalne - baza'!M167*'Założenia,wskaźniki, listy'!$B$5,IF(L167="drewno",'Mieszkalne - baza'!M167*'Założenia,wskaźniki, listy'!$B$6,IF(L167="pelet",'Mieszkalne - baza'!M167*'Założenia,wskaźniki, listy'!$B$7,IF(L167="olej opałowy",'Mieszkalne - baza'!M167*'Założenia,wskaźniki, listy'!$B$8,IF(L167="sieć ciepłownicza",0,0))))))</f>
        <v>67.83</v>
      </c>
      <c r="S167" s="1084">
        <v>1.6919999999999999</v>
      </c>
      <c r="T167" s="639">
        <f>IF(L167="węgiel",R167*'Założenia,wskaźniki, listy'!$C$44,IF(L167="gaz",R167*'Założenia,wskaźniki, listy'!$D$44,IF(L167="drewno",R167*'Założenia,wskaźniki, listy'!$E$44,IF(L167="pelet",R167*'Założenia,wskaźniki, listy'!$F$44,IF(L167="olej opałowy",R167*'Założenia,wskaźniki, listy'!$G$44,IF(L167="sieć ciepłownicza",0,IF(L167="prąd",0,0)))))))</f>
        <v>1.5261749999999999E-2</v>
      </c>
      <c r="U167" s="639">
        <f>IF(L167="węgiel",R167*'Założenia,wskaźniki, listy'!$C$45,IF(L167="gaz",R167*'Założenia,wskaźniki, listy'!$D$45,IF(L167="drewno",R167*'Założenia,wskaźniki, listy'!$E$45,IF(L167="pelet",R167*'Założenia,wskaźniki, listy'!$F$45,IF(L167="olej opałowy",R167*'Założenia,wskaźniki, listy'!$G$45,IF(L167="sieć ciepłownicza",0,IF(L167="prąd",0,0)))))))</f>
        <v>1.363383E-2</v>
      </c>
      <c r="V167" s="639">
        <f>IF(L167="węgiel",R167*'Założenia,wskaźniki, listy'!$C$46,IF(L167="gaz",R167*'Założenia,wskaźniki, listy'!$D$46,IF(L167="drewno",R167*'Założenia,wskaźniki, listy'!$E$46,IF(L167="pelet",R167*'Założenia,wskaźniki, listy'!$F$46,IF(L167="olej opałowy",R167*'Założenia,wskaźniki, listy'!$G$46,IF(L167="sieć ciepłownicza",R167*'Założenia,wskaźniki, listy'!$H$46,IF(L167="prąd",R167*'Założenia,wskaźniki, listy'!$I$46,0)))))))</f>
        <v>6.3583841999999988</v>
      </c>
      <c r="W167" s="639">
        <f>IF(L167="węgiel",R167*'Założenia,wskaźniki, listy'!$C$47,IF(L167="gaz",R167*'Założenia,wskaźniki, listy'!$D$47,IF(L167="drewno",R167*'Założenia,wskaźniki, listy'!$E$47,IF(L167="pelet",R167*'Założenia,wskaźniki, listy'!$F$47,IF(L167="olej opałowy",R167*'Założenia,wskaźniki, listy'!$G$47,IF(L167="sieć ciepłownicza",0,IF(L167="prąd",0,0)))))))</f>
        <v>1.8314100000000001E-5</v>
      </c>
      <c r="X167" s="639">
        <f>IF(L167="węgiel",R167*'Założenia,wskaźniki, listy'!$C$48, IF(L167="gaz",R167*'Założenia,wskaźniki, listy'!$D$48,IF(L167="drewno",R167*'Założenia,wskaźniki, listy'!$E$48,IF(L167="pelet",R167*'Założenia,wskaźniki, listy'!$F$48,IF(L167="olej opałowy",R167*'Założenia,wskaźniki, listy'!$G$48,IF(L167="sieć ciepłownicza",0,IF(L167="prąd",0,0)))))))</f>
        <v>6.1046999999999997E-2</v>
      </c>
      <c r="Y167" s="639">
        <f>IF(L167="węgiel",R167*'Założenia,wskaźniki, listy'!$C$49, IF(L167="gaz",R167*'Założenia,wskaźniki, listy'!$D$49, IF(L167="drewno",R167*'Założenia,wskaźniki, listy'!$E$49,IF(L167="pelet",R167*'Założenia,wskaźniki, listy'!$F$49,IF(L167="olej opałowy",R167*'Założenia,wskaźniki, listy'!$G$49,IF(L167="sieć ciepłownicza",0,IF(L167="prąd",0,0)))))))</f>
        <v>1.071714E-2</v>
      </c>
      <c r="Z167" s="639">
        <f>IF(L167="węgiel",R167*'Założenia,wskaźniki, listy'!$C$50,IF(L167="gaz",R167*'Założenia,wskaźniki, listy'!$D$50, IF(L167="drewno",R167*'Założenia,wskaźniki, listy'!$E$50,IF(L167="pelet",R167*'Założenia,wskaźniki, listy'!$F$50,IF(L167="pelet",R167*'Założenia,wskaźniki, listy'!$F$50,IF(L167="olej opałowy",R167*'Założenia,wskaźniki, listy'!$G$50,IF(L167="sieć ciepłownicza",0,IF(L167="prąd",0,0))))))))</f>
        <v>0.13644836835046936</v>
      </c>
      <c r="AA167" s="639">
        <f>IF(N167="węgiel",Q167*'Założenia,wskaźniki, listy'!$C$44,IF(N167="gaz",Q167*'Założenia,wskaźniki, listy'!$D$44,IF(N167="drewno",Q167*'Założenia,wskaźniki, listy'!$E$44,IF(N167="pelet",Q167*'Założenia,wskaźniki, listy'!$G$44,IF(N167="olej opałowy",Q167*'Założenia,wskaźniki, listy'!$G$44,IF(N167="sieć ciepłownicza",0,IF(N167="prąd",0,0)))))))</f>
        <v>0</v>
      </c>
      <c r="AB167" s="639">
        <f>IF(N167="węgiel",Q167*'Założenia,wskaźniki, listy'!$C$45,IF(N167="gaz",Q167*'Założenia,wskaźniki, listy'!$D$45,IF(N167="drewno",Q167*'Założenia,wskaźniki, listy'!$E$45,IF(N167="pelet",Q167*'Założenia,wskaźniki, listy'!$G$45,IF(N167="olej opałowy",Q167*'Założenia,wskaźniki, listy'!$G$45,IF(N167="sieć ciepłownicza",0,IF(N167="prąd",0,0)))))))</f>
        <v>0</v>
      </c>
      <c r="AC167" s="639">
        <f>IF(N167="węgiel",Q167*'Założenia,wskaźniki, listy'!$C$46,IF(N167="gaz",Q167*'Założenia,wskaźniki, listy'!$D$46,IF(N167="drewno",Q167*'Założenia,wskaźniki, listy'!$E$46,IF(N167="pelet",Q167*'Założenia,wskaźniki, listy'!$G$46,IF(N167="olej opałowy",Q167*'Założenia,wskaźniki, listy'!$G$46,IF(N167="sieć ciepłownicza",0,IF(N167="prąd",0,0)))))))</f>
        <v>0</v>
      </c>
      <c r="AD167" s="639">
        <f>IF(N167="węgiel",Q167*'Założenia,wskaźniki, listy'!$C$47,IF(N167="gaz",Q167*'Założenia,wskaźniki, listy'!$D$47,IF(N167="drewno",Q167*'Założenia,wskaźniki, listy'!$E$47,IF(N167="pelet",Q167*'Założenia,wskaźniki, listy'!$G$47,IF(N167="olej opałowy",Q167*'Założenia,wskaźniki, listy'!$G$47,IF(N167="sieć ciepłownicza",0,IF(N167="prąd",0,0)))))))</f>
        <v>0</v>
      </c>
      <c r="AE167" s="639">
        <f>IF(N167="węgiel",Q167*'Założenia,wskaźniki, listy'!$C$48,IF(N167="gaz",Q167*'Założenia,wskaźniki, listy'!$D$48,IF(N167="drewno",Q167*'Założenia,wskaźniki, listy'!$E$48,IF(N167="pelet",Q167*'Założenia,wskaźniki, listy'!$G$48,IF(N167="olej opałowy",Q167*'Założenia,wskaźniki, listy'!$G$48,IF(N167="sieć ciepłownicza",0,IF(N167="prąd",0,0)))))))</f>
        <v>0</v>
      </c>
      <c r="AF167" s="639">
        <f>IF(N167="węgiel",Q167*'Założenia,wskaźniki, listy'!$C$49,IF(N167="gaz",Q167*'Założenia,wskaźniki, listy'!$D$49,IF(N167="drewno",Q167*'Założenia,wskaźniki, listy'!$E$49,IF(N167="pelet",Q167*'Założenia,wskaźniki, listy'!$G$49,IF(N167="olej opałowy",Q167*'Założenia,wskaźniki, listy'!$G$49,IF(N167="sieć ciepłownicza",0,IF(N167="prąd",0,0)))))))</f>
        <v>0</v>
      </c>
      <c r="AG167" s="639">
        <f>IF(N167="węgiel",Q167*'Założenia,wskaźniki, listy'!$C$50,IF(N167="gaz",Q167*'Założenia,wskaźniki, listy'!$D$50,IF(N167="drewno",Q167*'Założenia,wskaźniki, listy'!$E$50,IF(N167="pelet",Q167*'Założenia,wskaźniki, listy'!$G$50,IF(N167="olej opałowy",Q167*'Założenia,wskaźniki, listy'!$G$50,IF(N167="sieć ciepłownicza",0,IF(N167="prąd",0,0)))))))</f>
        <v>0</v>
      </c>
      <c r="AH167" s="640">
        <f>IF(L167="węgiel",(P167+R167)/2*'Założenia,wskaźniki, listy'!$C$4,IF(L167="gaz",(P167+R167)/2*'Założenia,wskaźniki, listy'!$C$5,IF(L167="drewno",(P167+R167)/2*'Założenia,wskaźniki, listy'!$C$6,IF(L167="pelet",(P167+R167)/2*'Założenia,wskaźniki, listy'!$C$7,IF(L167="olej opałowy",(P167+R167)/2*'Założenia,wskaźniki, listy'!$C$8,IF(L167="sieć ciepłownicza",(P167+R167)/2*'Założenia,wskaźniki, listy'!$C$9,IF(L167="sieć ciepłownicza",(P167+R167)/2*'Założenia,wskaźniki, listy'!$C$10,)))))))</f>
        <v>3087.915</v>
      </c>
      <c r="AI167" s="640">
        <f>IF(N167="węgiel",Q167*'Założenia,wskaźniki, listy'!$C$4,IF(N167="gaz",Q167*'Założenia,wskaźniki, listy'!$C$5,IF(N167="drewno",Q167*'Założenia,wskaźniki, listy'!$C$6,IF(N167="pelet",Q167*'Założenia,wskaźniki, listy'!$C$7,IF(N167="olej opałowy",Q167*'Założenia,wskaźniki, listy'!$C$8,IF(N167="sieć ciepłownicza",Q167*'Założenia,wskaźniki, listy'!$C$9,IF(N167="sieć ciepłownicza",Q167*'Założenia,wskaźniki, listy'!$C$10,0)))))))</f>
        <v>0</v>
      </c>
      <c r="AJ167" s="640">
        <f>S167*'Założenia,wskaźniki, listy'!$B$64*1000</f>
        <v>1201.32</v>
      </c>
      <c r="AK167" s="640">
        <f>(H167+I167)*'Założenia,wskaźniki, listy'!$D$64*12</f>
        <v>0</v>
      </c>
      <c r="AL167" s="640">
        <f>AK167*'Założenia,wskaźniki, listy'!$F$64</f>
        <v>0</v>
      </c>
      <c r="AM167" s="639">
        <f t="shared" si="206"/>
        <v>1.5261749999999999E-2</v>
      </c>
      <c r="AN167" s="639">
        <f t="shared" si="207"/>
        <v>1.363383E-2</v>
      </c>
      <c r="AO167" s="639">
        <f>V167+AC167+S167*'Założenia,wskaźniki, listy'!$J$46</f>
        <v>7.7652821999999988</v>
      </c>
      <c r="AP167" s="639">
        <f t="shared" si="208"/>
        <v>1.8314100000000001E-5</v>
      </c>
      <c r="AQ167" s="639">
        <f t="shared" si="209"/>
        <v>6.1046999999999997E-2</v>
      </c>
      <c r="AR167" s="639">
        <f t="shared" si="210"/>
        <v>1.071714E-2</v>
      </c>
      <c r="AS167" s="639">
        <f t="shared" si="211"/>
        <v>0.13644836835046936</v>
      </c>
      <c r="AT167" s="647"/>
      <c r="AU167" s="647"/>
      <c r="AV167" s="624" t="b">
        <f t="shared" si="241"/>
        <v>0</v>
      </c>
      <c r="AW167" s="624" t="b">
        <f t="shared" si="242"/>
        <v>0</v>
      </c>
      <c r="AX167" s="624" t="b">
        <f t="shared" si="243"/>
        <v>0</v>
      </c>
      <c r="AY167" s="624" t="b">
        <f t="shared" si="244"/>
        <v>0</v>
      </c>
      <c r="AZ167" s="624" t="b">
        <f t="shared" si="245"/>
        <v>0</v>
      </c>
      <c r="BA167" s="624" t="b">
        <f t="shared" si="246"/>
        <v>0</v>
      </c>
      <c r="BB167" s="624" t="b">
        <f t="shared" si="247"/>
        <v>0</v>
      </c>
      <c r="BC167" s="624" t="b">
        <f t="shared" si="248"/>
        <v>0</v>
      </c>
      <c r="BD167" s="624">
        <f t="shared" si="249"/>
        <v>200</v>
      </c>
      <c r="BE167" s="624" t="b">
        <f t="shared" si="250"/>
        <v>0</v>
      </c>
      <c r="BF167" s="624">
        <f t="shared" si="251"/>
        <v>67.83</v>
      </c>
      <c r="BG167" s="624" t="b">
        <f t="shared" si="252"/>
        <v>0</v>
      </c>
      <c r="BH167" s="624" t="b">
        <f t="shared" si="253"/>
        <v>0</v>
      </c>
      <c r="BI167" s="624" t="b">
        <f t="shared" si="254"/>
        <v>0</v>
      </c>
      <c r="BJ167" s="624" t="b">
        <f t="shared" si="255"/>
        <v>0</v>
      </c>
      <c r="BK167" s="624" t="b">
        <f t="shared" si="256"/>
        <v>0</v>
      </c>
      <c r="BL167" s="624" t="b">
        <f t="shared" si="257"/>
        <v>0</v>
      </c>
      <c r="BM167" s="624" t="b">
        <f t="shared" si="258"/>
        <v>0</v>
      </c>
      <c r="BN167" s="624" t="b">
        <f t="shared" si="259"/>
        <v>0</v>
      </c>
      <c r="BO167" s="624" t="b">
        <f t="shared" si="260"/>
        <v>0</v>
      </c>
      <c r="BP167" s="624" t="b">
        <f t="shared" si="261"/>
        <v>0</v>
      </c>
      <c r="BQ167" s="624" t="b">
        <f t="shared" si="262"/>
        <v>0</v>
      </c>
    </row>
    <row r="168" spans="1:69" ht="8.25" customHeight="1">
      <c r="A168" s="1087"/>
      <c r="B168" s="872"/>
      <c r="C168" s="872"/>
      <c r="D168" s="645"/>
      <c r="E168" s="645"/>
      <c r="F168" s="644"/>
      <c r="G168" s="644"/>
      <c r="H168" s="644"/>
      <c r="I168" s="635"/>
      <c r="J168" s="644">
        <f>IF(F168&lt;=1966,'Założenia,wskaźniki, listy'!$H$4,IF(F168&gt;1966,IF(F168&lt;=1985,'Założenia,wskaźniki, listy'!$H$5,IF(F168&gt;1985,IF(F168&lt;=1992,'Założenia,wskaźniki, listy'!$H$6,IF(F168&gt;1992,IF(F168&lt;=1996,'Założenia,wskaźniki, listy'!$H$7,IF(F168&gt;1996,IF(F168&lt;=2015,'Założenia,wskaźniki, listy'!$H$8)))))))))</f>
        <v>290</v>
      </c>
      <c r="K168" s="872"/>
      <c r="L168" s="644" t="s">
        <v>79</v>
      </c>
      <c r="M168" s="644">
        <v>1</v>
      </c>
      <c r="N168" s="644"/>
      <c r="O168" s="637">
        <f t="shared" si="240"/>
        <v>15</v>
      </c>
      <c r="P168" s="646">
        <f>IF(K168="kompletna",J168*G168*0.0036*'Założenia,wskaźniki, listy'!$P$9,IF(K168="częściowa",J168*G168*0.0036*'Założenia,wskaźniki, listy'!$P$10,IF(K168="brak",J168*G168*0.0036*'Założenia,wskaźniki, listy'!$P$11,0)))</f>
        <v>0</v>
      </c>
      <c r="Q168" s="638">
        <f>H168*'Założenia,wskaźniki, listy'!$L$15</f>
        <v>0</v>
      </c>
      <c r="R168" s="635">
        <f>IF(L168="węgiel",'Mieszkalne - baza'!M168*'Założenia,wskaźniki, listy'!$B$4,IF(L168="gaz",'Mieszkalne - baza'!M168*'Założenia,wskaźniki, listy'!$B$5,IF(L168="drewno",'Mieszkalne - baza'!M168*'Założenia,wskaźniki, listy'!$B$6,IF(L168="pelet",'Mieszkalne - baza'!M168*'Założenia,wskaźniki, listy'!$B$7,IF(L168="olej opałowy",'Mieszkalne - baza'!M168*'Założenia,wskaźniki, listy'!$B$8,IF(L168="sieć ciepłownicza",0,0))))))</f>
        <v>15</v>
      </c>
      <c r="S168" s="1085"/>
      <c r="T168" s="639">
        <f>IF(L168="węgiel",R168*'Założenia,wskaźniki, listy'!$C$44,IF(L168="gaz",R168*'Założenia,wskaźniki, listy'!$D$44,IF(L168="drewno",R168*'Założenia,wskaźniki, listy'!$E$44,IF(L168="pelet",R168*'Założenia,wskaźniki, listy'!$F$44,IF(L168="olej opałowy",R168*'Założenia,wskaźniki, listy'!$G$44,IF(L168="sieć ciepłownicza",0,IF(L168="prąd",0,0)))))))</f>
        <v>7.1999999999999998E-3</v>
      </c>
      <c r="U168" s="639">
        <f>IF(L168="węgiel",R168*'Założenia,wskaźniki, listy'!$C$45,IF(L168="gaz",R168*'Założenia,wskaźniki, listy'!$D$45,IF(L168="drewno",R168*'Założenia,wskaźniki, listy'!$E$45,IF(L168="pelet",R168*'Założenia,wskaźniki, listy'!$F$45,IF(L168="olej opałowy",R168*'Założenia,wskaźniki, listy'!$G$45,IF(L168="sieć ciepłownicza",0,IF(L168="prąd",0,0)))))))</f>
        <v>7.0499999999999998E-3</v>
      </c>
      <c r="V168" s="639">
        <f>IF(L168="węgiel",R168*'Założenia,wskaźniki, listy'!$C$46,IF(L168="gaz",R168*'Założenia,wskaźniki, listy'!$D$46,IF(L168="drewno",R168*'Założenia,wskaźniki, listy'!$E$46,IF(L168="pelet",R168*'Założenia,wskaźniki, listy'!$F$46,IF(L168="olej opałowy",R168*'Założenia,wskaźniki, listy'!$G$46,IF(L168="sieć ciepłownicza",R168*'Założenia,wskaźniki, listy'!$H$46,IF(L168="prąd",R168*'Założenia,wskaźniki, listy'!$I$46,0)))))))</f>
        <v>0</v>
      </c>
      <c r="W168" s="639">
        <f>IF(L168="węgiel",R168*'Założenia,wskaźniki, listy'!$C$47,IF(L168="gaz",R168*'Założenia,wskaźniki, listy'!$D$47,IF(L168="drewno",R168*'Założenia,wskaźniki, listy'!$E$47,IF(L168="pelet",R168*'Założenia,wskaźniki, listy'!$F$47,IF(L168="olej opałowy",R168*'Założenia,wskaźniki, listy'!$G$47,IF(L168="sieć ciepłownicza",0,IF(L168="prąd",0,0)))))))</f>
        <v>1.8150000000000002E-6</v>
      </c>
      <c r="X168" s="639">
        <f>IF(L168="węgiel",R168*'Założenia,wskaźniki, listy'!$C$48, IF(L168="gaz",R168*'Założenia,wskaźniki, listy'!$D$48,IF(L168="drewno",R168*'Założenia,wskaźniki, listy'!$E$48,IF(L168="pelet",R168*'Założenia,wskaźniki, listy'!$F$48,IF(L168="olej opałowy",R168*'Założenia,wskaźniki, listy'!$G$48,IF(L168="sieć ciepłownicza",0,IF(L168="prąd",0,0)))))))</f>
        <v>1.65E-4</v>
      </c>
      <c r="Y168" s="639">
        <f>IF(L168="węgiel",R168*'Założenia,wskaźniki, listy'!$C$49, IF(L168="gaz",R168*'Założenia,wskaźniki, listy'!$D$49, IF(L168="drewno",R168*'Założenia,wskaźniki, listy'!$E$49,IF(L168="pelet",R168*'Założenia,wskaźniki, listy'!$F$49,IF(L168="olej opałowy",R168*'Założenia,wskaźniki, listy'!$G$49,IF(L168="sieć ciepłownicza",0,IF(L168="prąd",0,0)))))))</f>
        <v>1.2000000000000001E-3</v>
      </c>
      <c r="Z168" s="639">
        <f>IF(L168="węgiel",R168*'Założenia,wskaźniki, listy'!$C$50,IF(L168="gaz",R168*'Założenia,wskaźniki, listy'!$D$50, IF(L168="drewno",R168*'Założenia,wskaźniki, listy'!$E$50,IF(L168="pelet",R168*'Założenia,wskaźniki, listy'!$F$50,IF(L168="pelet",R168*'Założenia,wskaźniki, listy'!$F$50,IF(L168="olej opałowy",R168*'Założenia,wskaźniki, listy'!$G$50,IF(L168="sieć ciepłownicza",0,IF(L168="prąd",0,0))))))))</f>
        <v>2.6909999999999998E-3</v>
      </c>
      <c r="AA168" s="639">
        <f>IF(N168="węgiel",Q168*'Założenia,wskaźniki, listy'!$C$44,IF(N168="gaz",Q168*'Założenia,wskaźniki, listy'!$D$44,IF(N168="drewno",Q168*'Założenia,wskaźniki, listy'!$E$44,IF(N168="pelet",Q168*'Założenia,wskaźniki, listy'!$G$44,IF(N168="olej opałowy",Q168*'Założenia,wskaźniki, listy'!$G$44,IF(N168="sieć ciepłownicza",0,IF(N168="prąd",0,0)))))))</f>
        <v>0</v>
      </c>
      <c r="AB168" s="639">
        <f>IF(N168="węgiel",Q168*'Założenia,wskaźniki, listy'!$C$45,IF(N168="gaz",Q168*'Założenia,wskaźniki, listy'!$D$45,IF(N168="drewno",Q168*'Założenia,wskaźniki, listy'!$E$45,IF(N168="pelet",Q168*'Założenia,wskaźniki, listy'!$G$45,IF(N168="olej opałowy",Q168*'Założenia,wskaźniki, listy'!$G$45,IF(N168="sieć ciepłownicza",0,IF(N168="prąd",0,0)))))))</f>
        <v>0</v>
      </c>
      <c r="AC168" s="639">
        <f>IF(N168="węgiel",Q168*'Założenia,wskaźniki, listy'!$C$46,IF(N168="gaz",Q168*'Założenia,wskaźniki, listy'!$D$46,IF(N168="drewno",Q168*'Założenia,wskaźniki, listy'!$E$46,IF(N168="pelet",Q168*'Założenia,wskaźniki, listy'!$G$46,IF(N168="olej opałowy",Q168*'Założenia,wskaźniki, listy'!$G$46,IF(N168="sieć ciepłownicza",0,IF(N168="prąd",0,0)))))))</f>
        <v>0</v>
      </c>
      <c r="AD168" s="639">
        <f>IF(N168="węgiel",Q168*'Założenia,wskaźniki, listy'!$C$47,IF(N168="gaz",Q168*'Założenia,wskaźniki, listy'!$D$47,IF(N168="drewno",Q168*'Założenia,wskaźniki, listy'!$E$47,IF(N168="pelet",Q168*'Założenia,wskaźniki, listy'!$G$47,IF(N168="olej opałowy",Q168*'Założenia,wskaźniki, listy'!$G$47,IF(N168="sieć ciepłownicza",0,IF(N168="prąd",0,0)))))))</f>
        <v>0</v>
      </c>
      <c r="AE168" s="639">
        <f>IF(N168="węgiel",Q168*'Założenia,wskaźniki, listy'!$C$48,IF(N168="gaz",Q168*'Założenia,wskaźniki, listy'!$D$48,IF(N168="drewno",Q168*'Założenia,wskaźniki, listy'!$E$48,IF(N168="pelet",Q168*'Założenia,wskaźniki, listy'!$G$48,IF(N168="olej opałowy",Q168*'Założenia,wskaźniki, listy'!$G$48,IF(N168="sieć ciepłownicza",0,IF(N168="prąd",0,0)))))))</f>
        <v>0</v>
      </c>
      <c r="AF168" s="639">
        <f>IF(N168="węgiel",Q168*'Założenia,wskaźniki, listy'!$C$49,IF(N168="gaz",Q168*'Założenia,wskaźniki, listy'!$D$49,IF(N168="drewno",Q168*'Założenia,wskaźniki, listy'!$E$49,IF(N168="pelet",Q168*'Założenia,wskaźniki, listy'!$G$49,IF(N168="olej opałowy",Q168*'Założenia,wskaźniki, listy'!$G$49,IF(N168="sieć ciepłownicza",0,IF(N168="prąd",0,0)))))))</f>
        <v>0</v>
      </c>
      <c r="AG168" s="639">
        <f>IF(N168="węgiel",Q168*'Założenia,wskaźniki, listy'!$C$50,IF(N168="gaz",Q168*'Założenia,wskaźniki, listy'!$D$50,IF(N168="drewno",Q168*'Założenia,wskaźniki, listy'!$E$50,IF(N168="pelet",Q168*'Założenia,wskaźniki, listy'!$G$50,IF(N168="olej opałowy",Q168*'Założenia,wskaźniki, listy'!$G$50,IF(N168="sieć ciepłownicza",0,IF(N168="prąd",0,0)))))))</f>
        <v>0</v>
      </c>
      <c r="AH168" s="640">
        <f>IF(L168="węgiel",(P168+R168)/2*'Założenia,wskaźniki, listy'!$C$4,IF(L168="gaz",(P168+R168)/2*'Założenia,wskaźniki, listy'!$C$5,IF(L168="drewno",(P168+R168)/2*'Założenia,wskaźniki, listy'!$C$6,IF(L168="pelet",(P168+R168)/2*'Założenia,wskaźniki, listy'!$C$7,IF(L168="olej opałowy",(P168+R168)/2*'Założenia,wskaźniki, listy'!$C$8,IF(L168="sieć ciepłownicza",(P168+R168)/2*'Założenia,wskaźniki, listy'!$C$9,IF(L168="sieć ciepłownicza",(P168+R168)/2*'Założenia,wskaźniki, listy'!$C$10,)))))))</f>
        <v>285</v>
      </c>
      <c r="AI168" s="640">
        <f>IF(N168="węgiel",Q168*'Założenia,wskaźniki, listy'!$C$4,IF(N168="gaz",Q168*'Założenia,wskaźniki, listy'!$C$5,IF(N168="drewno",Q168*'Założenia,wskaźniki, listy'!$C$6,IF(N168="pelet",Q168*'Założenia,wskaźniki, listy'!$C$7,IF(N168="olej opałowy",Q168*'Założenia,wskaźniki, listy'!$C$8,IF(N168="sieć ciepłownicza",Q168*'Założenia,wskaźniki, listy'!$C$9,IF(N168="sieć ciepłownicza",Q168*'Założenia,wskaźniki, listy'!$C$10,0)))))))</f>
        <v>0</v>
      </c>
      <c r="AJ168" s="640">
        <f>S168*'Założenia,wskaźniki, listy'!$B$64*1000</f>
        <v>0</v>
      </c>
      <c r="AK168" s="640">
        <f>(H168+I168)*'Założenia,wskaźniki, listy'!$D$64*12</f>
        <v>0</v>
      </c>
      <c r="AL168" s="640">
        <f>AK168*'Założenia,wskaźniki, listy'!$F$64</f>
        <v>0</v>
      </c>
      <c r="AM168" s="639">
        <f t="shared" si="206"/>
        <v>7.1999999999999998E-3</v>
      </c>
      <c r="AN168" s="639">
        <f t="shared" si="207"/>
        <v>7.0499999999999998E-3</v>
      </c>
      <c r="AO168" s="639">
        <f>V168+AC168+S168*'Założenia,wskaźniki, listy'!$J$46</f>
        <v>0</v>
      </c>
      <c r="AP168" s="639">
        <f t="shared" si="208"/>
        <v>1.8150000000000002E-6</v>
      </c>
      <c r="AQ168" s="639">
        <f t="shared" si="209"/>
        <v>1.65E-4</v>
      </c>
      <c r="AR168" s="639">
        <f t="shared" si="210"/>
        <v>1.2000000000000001E-3</v>
      </c>
      <c r="AS168" s="639">
        <f t="shared" si="211"/>
        <v>2.6909999999999998E-3</v>
      </c>
      <c r="AT168" s="647"/>
      <c r="AU168" s="647"/>
      <c r="AV168" s="624">
        <f t="shared" si="241"/>
        <v>0</v>
      </c>
      <c r="AW168" s="624" t="b">
        <f t="shared" si="242"/>
        <v>0</v>
      </c>
      <c r="AX168" s="624" t="b">
        <f t="shared" si="243"/>
        <v>0</v>
      </c>
      <c r="AY168" s="624" t="b">
        <f t="shared" si="244"/>
        <v>0</v>
      </c>
      <c r="AZ168" s="624" t="b">
        <f t="shared" si="245"/>
        <v>0</v>
      </c>
      <c r="BA168" s="624" t="b">
        <f t="shared" si="246"/>
        <v>0</v>
      </c>
      <c r="BB168" s="624" t="b">
        <f t="shared" si="247"/>
        <v>0</v>
      </c>
      <c r="BC168" s="624" t="b">
        <f t="shared" si="248"/>
        <v>0</v>
      </c>
      <c r="BD168" s="624" t="b">
        <f t="shared" si="249"/>
        <v>0</v>
      </c>
      <c r="BE168" s="624" t="b">
        <f t="shared" si="250"/>
        <v>0</v>
      </c>
      <c r="BF168" s="624" t="b">
        <f t="shared" si="251"/>
        <v>0</v>
      </c>
      <c r="BG168" s="624" t="b">
        <f t="shared" si="252"/>
        <v>0</v>
      </c>
      <c r="BH168" s="624">
        <f t="shared" si="253"/>
        <v>15</v>
      </c>
      <c r="BI168" s="624" t="b">
        <f t="shared" si="254"/>
        <v>0</v>
      </c>
      <c r="BJ168" s="624" t="b">
        <f t="shared" si="255"/>
        <v>0</v>
      </c>
      <c r="BK168" s="624" t="b">
        <f t="shared" si="256"/>
        <v>0</v>
      </c>
      <c r="BL168" s="624" t="b">
        <f t="shared" si="257"/>
        <v>0</v>
      </c>
      <c r="BM168" s="624" t="b">
        <f t="shared" si="258"/>
        <v>0</v>
      </c>
      <c r="BN168" s="624" t="b">
        <f t="shared" si="259"/>
        <v>0</v>
      </c>
      <c r="BO168" s="624" t="b">
        <f t="shared" si="260"/>
        <v>0</v>
      </c>
      <c r="BP168" s="624" t="b">
        <f t="shared" si="261"/>
        <v>0</v>
      </c>
      <c r="BQ168" s="624" t="b">
        <f t="shared" si="262"/>
        <v>0</v>
      </c>
    </row>
    <row r="169" spans="1:69" ht="8.25" customHeight="1">
      <c r="A169" s="1086">
        <v>83</v>
      </c>
      <c r="B169" s="872" t="s">
        <v>21</v>
      </c>
      <c r="C169" s="873" t="s">
        <v>634</v>
      </c>
      <c r="D169" s="645"/>
      <c r="E169" s="645">
        <v>37</v>
      </c>
      <c r="F169" s="644">
        <v>2000</v>
      </c>
      <c r="G169" s="644">
        <v>80</v>
      </c>
      <c r="H169" s="644"/>
      <c r="I169" s="635"/>
      <c r="J169" s="644">
        <f>IF(F169&lt;=1966,'Założenia,wskaźniki, listy'!$H$4,IF(F169&gt;1966,IF(F169&lt;=1985,'Założenia,wskaźniki, listy'!$H$5,IF(F169&gt;1985,IF(F169&lt;=1992,'Założenia,wskaźniki, listy'!$H$6,IF(F169&gt;1992,IF(F169&lt;=1996,'Założenia,wskaźniki, listy'!$H$7,IF(F169&gt;1996,IF(F169&lt;=2015,'Założenia,wskaźniki, listy'!$H$8)))))))))</f>
        <v>115</v>
      </c>
      <c r="K169" s="864" t="s">
        <v>31</v>
      </c>
      <c r="L169" s="644" t="s">
        <v>8</v>
      </c>
      <c r="M169" s="644">
        <v>1</v>
      </c>
      <c r="N169" s="644"/>
      <c r="O169" s="637">
        <f t="shared" si="240"/>
        <v>27.864999999999998</v>
      </c>
      <c r="P169" s="646">
        <f>IF(K169="kompletna",J169*G169*0.0036*'Założenia,wskaźniki, listy'!$P$9,IF(K169="częściowa",J169*G169*0.0036*'Założenia,wskaźniki, listy'!$P$10,IF(K169="brak",J169*G169*0.0036*'Założenia,wskaźniki, listy'!$P$11,0)))</f>
        <v>33.119999999999997</v>
      </c>
      <c r="Q169" s="638">
        <f>H169*'Założenia,wskaźniki, listy'!$L$15</f>
        <v>0</v>
      </c>
      <c r="R169" s="635">
        <f>IF(L169="węgiel",'Mieszkalne - baza'!M169*'Założenia,wskaźniki, listy'!$B$4,IF(L169="gaz",'Mieszkalne - baza'!M169*'Założenia,wskaźniki, listy'!$B$5,IF(L169="drewno",'Mieszkalne - baza'!M169*'Założenia,wskaźniki, listy'!$B$6,IF(L169="pelet",'Mieszkalne - baza'!M169*'Założenia,wskaźniki, listy'!$B$7,IF(L169="olej opałowy",'Mieszkalne - baza'!M169*'Założenia,wskaźniki, listy'!$B$8,IF(L169="sieć ciepłownicza",0,0))))))</f>
        <v>22.61</v>
      </c>
      <c r="S169" s="1084">
        <v>1.8048000000000002</v>
      </c>
      <c r="T169" s="639">
        <f>IF(L169="węgiel",R169*'Założenia,wskaźniki, listy'!$C$44,IF(L169="gaz",R169*'Założenia,wskaźniki, listy'!$D$44,IF(L169="drewno",R169*'Założenia,wskaźniki, listy'!$E$44,IF(L169="pelet",R169*'Założenia,wskaźniki, listy'!$F$44,IF(L169="olej opałowy",R169*'Założenia,wskaźniki, listy'!$G$44,IF(L169="sieć ciepłownicza",0,IF(L169="prąd",0,0)))))))</f>
        <v>5.0872499999999998E-3</v>
      </c>
      <c r="U169" s="639">
        <f>IF(L169="węgiel",R169*'Założenia,wskaźniki, listy'!$C$45,IF(L169="gaz",R169*'Założenia,wskaźniki, listy'!$D$45,IF(L169="drewno",R169*'Założenia,wskaźniki, listy'!$E$45,IF(L169="pelet",R169*'Założenia,wskaźniki, listy'!$F$45,IF(L169="olej opałowy",R169*'Założenia,wskaźniki, listy'!$G$45,IF(L169="sieć ciepłownicza",0,IF(L169="prąd",0,0)))))))</f>
        <v>4.5446100000000001E-3</v>
      </c>
      <c r="V169" s="639">
        <f>IF(L169="węgiel",R169*'Założenia,wskaźniki, listy'!$C$46,IF(L169="gaz",R169*'Założenia,wskaźniki, listy'!$D$46,IF(L169="drewno",R169*'Założenia,wskaźniki, listy'!$E$46,IF(L169="pelet",R169*'Założenia,wskaźniki, listy'!$F$46,IF(L169="olej opałowy",R169*'Założenia,wskaźniki, listy'!$G$46,IF(L169="sieć ciepłownicza",R169*'Założenia,wskaźniki, listy'!$H$46,IF(L169="prąd",R169*'Założenia,wskaźniki, listy'!$I$46,0)))))))</f>
        <v>2.1194613999999996</v>
      </c>
      <c r="W169" s="639">
        <f>IF(L169="węgiel",R169*'Założenia,wskaźniki, listy'!$C$47,IF(L169="gaz",R169*'Założenia,wskaźniki, listy'!$D$47,IF(L169="drewno",R169*'Założenia,wskaźniki, listy'!$E$47,IF(L169="pelet",R169*'Założenia,wskaźniki, listy'!$F$47,IF(L169="olej opałowy",R169*'Założenia,wskaźniki, listy'!$G$47,IF(L169="sieć ciepłownicza",0,IF(L169="prąd",0,0)))))))</f>
        <v>6.1047000000000002E-6</v>
      </c>
      <c r="X169" s="639">
        <f>IF(L169="węgiel",R169*'Założenia,wskaźniki, listy'!$C$48, IF(L169="gaz",R169*'Założenia,wskaźniki, listy'!$D$48,IF(L169="drewno",R169*'Założenia,wskaźniki, listy'!$E$48,IF(L169="pelet",R169*'Założenia,wskaźniki, listy'!$F$48,IF(L169="olej opałowy",R169*'Założenia,wskaźniki, listy'!$G$48,IF(L169="sieć ciepłownicza",0,IF(L169="prąd",0,0)))))))</f>
        <v>2.0348999999999999E-2</v>
      </c>
      <c r="Y169" s="639">
        <f>IF(L169="węgiel",R169*'Założenia,wskaźniki, listy'!$C$49, IF(L169="gaz",R169*'Założenia,wskaźniki, listy'!$D$49, IF(L169="drewno",R169*'Założenia,wskaźniki, listy'!$E$49,IF(L169="pelet",R169*'Założenia,wskaźniki, listy'!$F$49,IF(L169="olej opałowy",R169*'Założenia,wskaźniki, listy'!$G$49,IF(L169="sieć ciepłownicza",0,IF(L169="prąd",0,0)))))))</f>
        <v>3.5723799999999996E-3</v>
      </c>
      <c r="Z169" s="639">
        <f>IF(L169="węgiel",R169*'Założenia,wskaźniki, listy'!$C$50,IF(L169="gaz",R169*'Założenia,wskaźniki, listy'!$D$50, IF(L169="drewno",R169*'Założenia,wskaźniki, listy'!$E$50,IF(L169="pelet",R169*'Założenia,wskaźniki, listy'!$F$50,IF(L169="pelet",R169*'Założenia,wskaźniki, listy'!$F$50,IF(L169="olej opałowy",R169*'Założenia,wskaźniki, listy'!$G$50,IF(L169="sieć ciepłownicza",0,IF(L169="prąd",0,0))))))))</f>
        <v>4.5482789450156456E-2</v>
      </c>
      <c r="AA169" s="639">
        <f>IF(N169="węgiel",Q169*'Założenia,wskaźniki, listy'!$C$44,IF(N169="gaz",Q169*'Założenia,wskaźniki, listy'!$D$44,IF(N169="drewno",Q169*'Założenia,wskaźniki, listy'!$E$44,IF(N169="pelet",Q169*'Założenia,wskaźniki, listy'!$G$44,IF(N169="olej opałowy",Q169*'Założenia,wskaźniki, listy'!$G$44,IF(N169="sieć ciepłownicza",0,IF(N169="prąd",0,0)))))))</f>
        <v>0</v>
      </c>
      <c r="AB169" s="639">
        <f>IF(N169="węgiel",Q169*'Założenia,wskaźniki, listy'!$C$45,IF(N169="gaz",Q169*'Założenia,wskaźniki, listy'!$D$45,IF(N169="drewno",Q169*'Założenia,wskaźniki, listy'!$E$45,IF(N169="pelet",Q169*'Założenia,wskaźniki, listy'!$G$45,IF(N169="olej opałowy",Q169*'Założenia,wskaźniki, listy'!$G$45,IF(N169="sieć ciepłownicza",0,IF(N169="prąd",0,0)))))))</f>
        <v>0</v>
      </c>
      <c r="AC169" s="639">
        <f>IF(N169="węgiel",Q169*'Założenia,wskaźniki, listy'!$C$46,IF(N169="gaz",Q169*'Założenia,wskaźniki, listy'!$D$46,IF(N169="drewno",Q169*'Założenia,wskaźniki, listy'!$E$46,IF(N169="pelet",Q169*'Założenia,wskaźniki, listy'!$G$46,IF(N169="olej opałowy",Q169*'Założenia,wskaźniki, listy'!$G$46,IF(N169="sieć ciepłownicza",0,IF(N169="prąd",0,0)))))))</f>
        <v>0</v>
      </c>
      <c r="AD169" s="639">
        <f>IF(N169="węgiel",Q169*'Założenia,wskaźniki, listy'!$C$47,IF(N169="gaz",Q169*'Założenia,wskaźniki, listy'!$D$47,IF(N169="drewno",Q169*'Założenia,wskaźniki, listy'!$E$47,IF(N169="pelet",Q169*'Założenia,wskaźniki, listy'!$G$47,IF(N169="olej opałowy",Q169*'Założenia,wskaźniki, listy'!$G$47,IF(N169="sieć ciepłownicza",0,IF(N169="prąd",0,0)))))))</f>
        <v>0</v>
      </c>
      <c r="AE169" s="639">
        <f>IF(N169="węgiel",Q169*'Założenia,wskaźniki, listy'!$C$48,IF(N169="gaz",Q169*'Założenia,wskaźniki, listy'!$D$48,IF(N169="drewno",Q169*'Założenia,wskaźniki, listy'!$E$48,IF(N169="pelet",Q169*'Założenia,wskaźniki, listy'!$G$48,IF(N169="olej opałowy",Q169*'Założenia,wskaźniki, listy'!$G$48,IF(N169="sieć ciepłownicza",0,IF(N169="prąd",0,0)))))))</f>
        <v>0</v>
      </c>
      <c r="AF169" s="639">
        <f>IF(N169="węgiel",Q169*'Założenia,wskaźniki, listy'!$C$49,IF(N169="gaz",Q169*'Założenia,wskaźniki, listy'!$D$49,IF(N169="drewno",Q169*'Założenia,wskaźniki, listy'!$E$49,IF(N169="pelet",Q169*'Założenia,wskaźniki, listy'!$G$49,IF(N169="olej opałowy",Q169*'Założenia,wskaźniki, listy'!$G$49,IF(N169="sieć ciepłownicza",0,IF(N169="prąd",0,0)))))))</f>
        <v>0</v>
      </c>
      <c r="AG169" s="639">
        <f>IF(N169="węgiel",Q169*'Założenia,wskaźniki, listy'!$C$50,IF(N169="gaz",Q169*'Założenia,wskaźniki, listy'!$D$50,IF(N169="drewno",Q169*'Założenia,wskaźniki, listy'!$E$50,IF(N169="pelet",Q169*'Założenia,wskaźniki, listy'!$G$50,IF(N169="olej opałowy",Q169*'Założenia,wskaźniki, listy'!$G$50,IF(N169="sieć ciepłownicza",0,IF(N169="prąd",0,0)))))))</f>
        <v>0</v>
      </c>
      <c r="AH169" s="640">
        <f>IF(L169="węgiel",(P169+R169)/2*'Założenia,wskaźniki, listy'!$C$4,IF(L169="gaz",(P169+R169)/2*'Założenia,wskaźniki, listy'!$C$5,IF(L169="drewno",(P169+R169)/2*'Założenia,wskaźniki, listy'!$C$6,IF(L169="pelet",(P169+R169)/2*'Założenia,wskaźniki, listy'!$C$7,IF(L169="olej opałowy",(P169+R169)/2*'Założenia,wskaźniki, listy'!$C$8,IF(L169="sieć ciepłownicza",(P169+R169)/2*'Założenia,wskaźniki, listy'!$C$9,IF(L169="sieć ciepłownicza",(P169+R169)/2*'Założenia,wskaźniki, listy'!$C$10,)))))))</f>
        <v>1142.4649999999999</v>
      </c>
      <c r="AI169" s="640">
        <f>IF(N169="węgiel",Q169*'Założenia,wskaźniki, listy'!$C$4,IF(N169="gaz",Q169*'Założenia,wskaźniki, listy'!$C$5,IF(N169="drewno",Q169*'Założenia,wskaźniki, listy'!$C$6,IF(N169="pelet",Q169*'Założenia,wskaźniki, listy'!$C$7,IF(N169="olej opałowy",Q169*'Założenia,wskaźniki, listy'!$C$8,IF(N169="sieć ciepłownicza",Q169*'Założenia,wskaźniki, listy'!$C$9,IF(N169="sieć ciepłownicza",Q169*'Założenia,wskaźniki, listy'!$C$10,0)))))))</f>
        <v>0</v>
      </c>
      <c r="AJ169" s="640">
        <f>S169*'Założenia,wskaźniki, listy'!$B$64*1000</f>
        <v>1281.4080000000001</v>
      </c>
      <c r="AK169" s="640">
        <f>(H169+I169)*'Założenia,wskaźniki, listy'!$D$64*12</f>
        <v>0</v>
      </c>
      <c r="AL169" s="640">
        <f>AK169*'Założenia,wskaźniki, listy'!$F$64</f>
        <v>0</v>
      </c>
      <c r="AM169" s="639">
        <f t="shared" si="206"/>
        <v>5.0872499999999998E-3</v>
      </c>
      <c r="AN169" s="639">
        <f t="shared" si="207"/>
        <v>4.5446100000000001E-3</v>
      </c>
      <c r="AO169" s="639">
        <f>V169+AC169+S169*'Założenia,wskaźniki, listy'!$J$46</f>
        <v>3.6201525999999999</v>
      </c>
      <c r="AP169" s="639">
        <f t="shared" si="208"/>
        <v>6.1047000000000002E-6</v>
      </c>
      <c r="AQ169" s="639">
        <f t="shared" si="209"/>
        <v>2.0348999999999999E-2</v>
      </c>
      <c r="AR169" s="639">
        <f t="shared" si="210"/>
        <v>3.5723799999999996E-3</v>
      </c>
      <c r="AS169" s="639">
        <f t="shared" si="211"/>
        <v>4.5482789450156456E-2</v>
      </c>
      <c r="AT169" s="647"/>
      <c r="AU169" s="647"/>
      <c r="AV169" s="624" t="b">
        <f t="shared" si="241"/>
        <v>0</v>
      </c>
      <c r="AW169" s="624" t="b">
        <f t="shared" si="242"/>
        <v>0</v>
      </c>
      <c r="AX169" s="624" t="b">
        <f t="shared" si="243"/>
        <v>0</v>
      </c>
      <c r="AY169" s="624" t="b">
        <f t="shared" si="244"/>
        <v>0</v>
      </c>
      <c r="AZ169" s="624" t="b">
        <f t="shared" si="245"/>
        <v>0</v>
      </c>
      <c r="BA169" s="624" t="b">
        <f t="shared" si="246"/>
        <v>0</v>
      </c>
      <c r="BB169" s="624" t="b">
        <f t="shared" si="247"/>
        <v>0</v>
      </c>
      <c r="BC169" s="624" t="b">
        <f t="shared" si="248"/>
        <v>0</v>
      </c>
      <c r="BD169" s="624">
        <f t="shared" si="249"/>
        <v>80</v>
      </c>
      <c r="BE169" s="624" t="b">
        <f t="shared" si="250"/>
        <v>0</v>
      </c>
      <c r="BF169" s="624">
        <f t="shared" si="251"/>
        <v>22.61</v>
      </c>
      <c r="BG169" s="624" t="b">
        <f t="shared" si="252"/>
        <v>0</v>
      </c>
      <c r="BH169" s="624" t="b">
        <f t="shared" si="253"/>
        <v>0</v>
      </c>
      <c r="BI169" s="624" t="b">
        <f t="shared" si="254"/>
        <v>0</v>
      </c>
      <c r="BJ169" s="624" t="b">
        <f t="shared" si="255"/>
        <v>0</v>
      </c>
      <c r="BK169" s="624" t="b">
        <f t="shared" si="256"/>
        <v>0</v>
      </c>
      <c r="BL169" s="624" t="b">
        <f t="shared" si="257"/>
        <v>0</v>
      </c>
      <c r="BM169" s="624" t="b">
        <f t="shared" si="258"/>
        <v>0</v>
      </c>
      <c r="BN169" s="624" t="b">
        <f t="shared" si="259"/>
        <v>0</v>
      </c>
      <c r="BO169" s="624" t="b">
        <f t="shared" si="260"/>
        <v>0</v>
      </c>
      <c r="BP169" s="624" t="b">
        <f t="shared" si="261"/>
        <v>0</v>
      </c>
      <c r="BQ169" s="624" t="b">
        <f t="shared" si="262"/>
        <v>0</v>
      </c>
    </row>
    <row r="170" spans="1:69" ht="8.25" customHeight="1">
      <c r="A170" s="1086"/>
      <c r="B170" s="872"/>
      <c r="C170" s="874"/>
      <c r="D170" s="645"/>
      <c r="E170" s="645"/>
      <c r="F170" s="644"/>
      <c r="G170" s="644"/>
      <c r="H170" s="644"/>
      <c r="I170" s="635"/>
      <c r="J170" s="644">
        <f>IF(F170&lt;=1966,'Założenia,wskaźniki, listy'!$H$4,IF(F170&gt;1966,IF(F170&lt;=1985,'Założenia,wskaźniki, listy'!$H$5,IF(F170&gt;1985,IF(F170&lt;=1992,'Założenia,wskaźniki, listy'!$H$6,IF(F170&gt;1992,IF(F170&lt;=1996,'Założenia,wskaźniki, listy'!$H$7,IF(F170&gt;1996,IF(F170&lt;=2015,'Założenia,wskaźniki, listy'!$H$8)))))))))</f>
        <v>290</v>
      </c>
      <c r="K170" s="872"/>
      <c r="L170" s="644" t="s">
        <v>79</v>
      </c>
      <c r="M170" s="644">
        <v>0.5</v>
      </c>
      <c r="N170" s="644"/>
      <c r="O170" s="637">
        <f t="shared" ref="O170" si="305">IF(P170&gt;0,(Q170+R170+P170)/2,Q170+R170)</f>
        <v>7.5</v>
      </c>
      <c r="P170" s="646">
        <f>IF(K170="kompletna",J170*G170*0.0036*'Założenia,wskaźniki, listy'!$P$9,IF(K170="częściowa",J170*G170*0.0036*'Założenia,wskaźniki, listy'!$P$10,IF(K170="brak",J170*G170*0.0036*'Założenia,wskaźniki, listy'!$P$11,0)))</f>
        <v>0</v>
      </c>
      <c r="Q170" s="638">
        <f>H170*'Założenia,wskaźniki, listy'!$L$15</f>
        <v>0</v>
      </c>
      <c r="R170" s="635">
        <f>IF(L170="węgiel",'Mieszkalne - baza'!M170*'Założenia,wskaźniki, listy'!$B$4,IF(L170="gaz",'Mieszkalne - baza'!M170*'Założenia,wskaźniki, listy'!$B$5,IF(L170="drewno",'Mieszkalne - baza'!M170*'Założenia,wskaźniki, listy'!$B$6,IF(L170="pelet",'Mieszkalne - baza'!M170*'Założenia,wskaźniki, listy'!$B$7,IF(L170="olej opałowy",'Mieszkalne - baza'!M170*'Założenia,wskaźniki, listy'!$B$8,IF(L170="sieć ciepłownicza",0,0))))))</f>
        <v>7.5</v>
      </c>
      <c r="S170" s="1085"/>
      <c r="T170" s="639">
        <f>IF(L170="węgiel",R170*'Założenia,wskaźniki, listy'!$C$44,IF(L170="gaz",R170*'Założenia,wskaźniki, listy'!$D$44,IF(L170="drewno",R170*'Założenia,wskaźniki, listy'!$E$44,IF(L170="pelet",R170*'Założenia,wskaźniki, listy'!$F$44,IF(L170="olej opałowy",R170*'Założenia,wskaźniki, listy'!$G$44,IF(L170="sieć ciepłownicza",0,IF(L170="prąd",0,0)))))))</f>
        <v>3.5999999999999999E-3</v>
      </c>
      <c r="U170" s="639">
        <f>IF(L170="węgiel",R170*'Założenia,wskaźniki, listy'!$C$45,IF(L170="gaz",R170*'Założenia,wskaźniki, listy'!$D$45,IF(L170="drewno",R170*'Założenia,wskaźniki, listy'!$E$45,IF(L170="pelet",R170*'Założenia,wskaźniki, listy'!$F$45,IF(L170="olej opałowy",R170*'Założenia,wskaźniki, listy'!$G$45,IF(L170="sieć ciepłownicza",0,IF(L170="prąd",0,0)))))))</f>
        <v>3.5249999999999999E-3</v>
      </c>
      <c r="V170" s="639">
        <f>IF(L170="węgiel",R170*'Założenia,wskaźniki, listy'!$C$46,IF(L170="gaz",R170*'Założenia,wskaźniki, listy'!$D$46,IF(L170="drewno",R170*'Założenia,wskaźniki, listy'!$E$46,IF(L170="pelet",R170*'Założenia,wskaźniki, listy'!$F$46,IF(L170="olej opałowy",R170*'Założenia,wskaźniki, listy'!$G$46,IF(L170="sieć ciepłownicza",R170*'Założenia,wskaźniki, listy'!$H$46,IF(L170="prąd",R170*'Założenia,wskaźniki, listy'!$I$46,0)))))))</f>
        <v>0</v>
      </c>
      <c r="W170" s="639">
        <f>IF(L170="węgiel",R170*'Założenia,wskaźniki, listy'!$C$47,IF(L170="gaz",R170*'Założenia,wskaźniki, listy'!$D$47,IF(L170="drewno",R170*'Założenia,wskaźniki, listy'!$E$47,IF(L170="pelet",R170*'Założenia,wskaźniki, listy'!$F$47,IF(L170="olej opałowy",R170*'Założenia,wskaźniki, listy'!$G$47,IF(L170="sieć ciepłownicza",0,IF(L170="prąd",0,0)))))))</f>
        <v>9.075000000000001E-7</v>
      </c>
      <c r="X170" s="639">
        <f>IF(L170="węgiel",R170*'Założenia,wskaźniki, listy'!$C$48, IF(L170="gaz",R170*'Założenia,wskaźniki, listy'!$D$48,IF(L170="drewno",R170*'Założenia,wskaźniki, listy'!$E$48,IF(L170="pelet",R170*'Założenia,wskaźniki, listy'!$F$48,IF(L170="olej opałowy",R170*'Założenia,wskaźniki, listy'!$G$48,IF(L170="sieć ciepłownicza",0,IF(L170="prąd",0,0)))))))</f>
        <v>8.25E-5</v>
      </c>
      <c r="Y170" s="639">
        <f>IF(L170="węgiel",R170*'Założenia,wskaźniki, listy'!$C$49, IF(L170="gaz",R170*'Założenia,wskaźniki, listy'!$D$49, IF(L170="drewno",R170*'Założenia,wskaźniki, listy'!$E$49,IF(L170="pelet",R170*'Założenia,wskaźniki, listy'!$F$49,IF(L170="olej opałowy",R170*'Założenia,wskaźniki, listy'!$G$49,IF(L170="sieć ciepłownicza",0,IF(L170="prąd",0,0)))))))</f>
        <v>6.0000000000000006E-4</v>
      </c>
      <c r="Z170" s="639">
        <f>IF(L170="węgiel",R170*'Założenia,wskaźniki, listy'!$C$50,IF(L170="gaz",R170*'Założenia,wskaźniki, listy'!$D$50, IF(L170="drewno",R170*'Założenia,wskaźniki, listy'!$E$50,IF(L170="pelet",R170*'Założenia,wskaźniki, listy'!$F$50,IF(L170="pelet",R170*'Założenia,wskaźniki, listy'!$F$50,IF(L170="olej opałowy",R170*'Założenia,wskaźniki, listy'!$G$50,IF(L170="sieć ciepłownicza",0,IF(L170="prąd",0,0))))))))</f>
        <v>1.3454999999999999E-3</v>
      </c>
      <c r="AA170" s="639">
        <f>IF(N170="węgiel",Q170*'Założenia,wskaźniki, listy'!$C$44,IF(N170="gaz",Q170*'Założenia,wskaźniki, listy'!$D$44,IF(N170="drewno",Q170*'Założenia,wskaźniki, listy'!$E$44,IF(N170="pelet",Q170*'Założenia,wskaźniki, listy'!$G$44,IF(N170="olej opałowy",Q170*'Założenia,wskaźniki, listy'!$G$44,IF(N170="sieć ciepłownicza",0,IF(N170="prąd",0,0)))))))</f>
        <v>0</v>
      </c>
      <c r="AB170" s="639">
        <f>IF(N170="węgiel",Q170*'Założenia,wskaźniki, listy'!$C$45,IF(N170="gaz",Q170*'Założenia,wskaźniki, listy'!$D$45,IF(N170="drewno",Q170*'Założenia,wskaźniki, listy'!$E$45,IF(N170="pelet",Q170*'Założenia,wskaźniki, listy'!$G$45,IF(N170="olej opałowy",Q170*'Założenia,wskaźniki, listy'!$G$45,IF(N170="sieć ciepłownicza",0,IF(N170="prąd",0,0)))))))</f>
        <v>0</v>
      </c>
      <c r="AC170" s="639">
        <f>IF(N170="węgiel",Q170*'Założenia,wskaźniki, listy'!$C$46,IF(N170="gaz",Q170*'Założenia,wskaźniki, listy'!$D$46,IF(N170="drewno",Q170*'Założenia,wskaźniki, listy'!$E$46,IF(N170="pelet",Q170*'Założenia,wskaźniki, listy'!$G$46,IF(N170="olej opałowy",Q170*'Założenia,wskaźniki, listy'!$G$46,IF(N170="sieć ciepłownicza",0,IF(N170="prąd",0,0)))))))</f>
        <v>0</v>
      </c>
      <c r="AD170" s="639">
        <f>IF(N170="węgiel",Q170*'Założenia,wskaźniki, listy'!$C$47,IF(N170="gaz",Q170*'Założenia,wskaźniki, listy'!$D$47,IF(N170="drewno",Q170*'Założenia,wskaźniki, listy'!$E$47,IF(N170="pelet",Q170*'Założenia,wskaźniki, listy'!$G$47,IF(N170="olej opałowy",Q170*'Założenia,wskaźniki, listy'!$G$47,IF(N170="sieć ciepłownicza",0,IF(N170="prąd",0,0)))))))</f>
        <v>0</v>
      </c>
      <c r="AE170" s="639">
        <f>IF(N170="węgiel",Q170*'Założenia,wskaźniki, listy'!$C$48,IF(N170="gaz",Q170*'Założenia,wskaźniki, listy'!$D$48,IF(N170="drewno",Q170*'Założenia,wskaźniki, listy'!$E$48,IF(N170="pelet",Q170*'Założenia,wskaźniki, listy'!$G$48,IF(N170="olej opałowy",Q170*'Założenia,wskaźniki, listy'!$G$48,IF(N170="sieć ciepłownicza",0,IF(N170="prąd",0,0)))))))</f>
        <v>0</v>
      </c>
      <c r="AF170" s="639">
        <f>IF(N170="węgiel",Q170*'Założenia,wskaźniki, listy'!$C$49,IF(N170="gaz",Q170*'Założenia,wskaźniki, listy'!$D$49,IF(N170="drewno",Q170*'Założenia,wskaźniki, listy'!$E$49,IF(N170="pelet",Q170*'Założenia,wskaźniki, listy'!$G$49,IF(N170="olej opałowy",Q170*'Założenia,wskaźniki, listy'!$G$49,IF(N170="sieć ciepłownicza",0,IF(N170="prąd",0,0)))))))</f>
        <v>0</v>
      </c>
      <c r="AG170" s="639">
        <f>IF(N170="węgiel",Q170*'Założenia,wskaźniki, listy'!$C$50,IF(N170="gaz",Q170*'Założenia,wskaźniki, listy'!$D$50,IF(N170="drewno",Q170*'Założenia,wskaźniki, listy'!$E$50,IF(N170="pelet",Q170*'Założenia,wskaźniki, listy'!$G$50,IF(N170="olej opałowy",Q170*'Założenia,wskaźniki, listy'!$G$50,IF(N170="sieć ciepłownicza",0,IF(N170="prąd",0,0)))))))</f>
        <v>0</v>
      </c>
      <c r="AH170" s="640">
        <f>IF(L170="węgiel",(P170+R170)/2*'Założenia,wskaźniki, listy'!$C$4,IF(L170="gaz",(P170+R170)/2*'Założenia,wskaźniki, listy'!$C$5,IF(L170="drewno",(P170+R170)/2*'Założenia,wskaźniki, listy'!$C$6,IF(L170="pelet",(P170+R170)/2*'Założenia,wskaźniki, listy'!$C$7,IF(L170="olej opałowy",(P170+R170)/2*'Założenia,wskaźniki, listy'!$C$8,IF(L170="sieć ciepłownicza",(P170+R170)/2*'Założenia,wskaźniki, listy'!$C$9,IF(L170="sieć ciepłownicza",(P170+R170)/2*'Założenia,wskaźniki, listy'!$C$10,)))))))</f>
        <v>142.5</v>
      </c>
      <c r="AI170" s="640">
        <f>IF(N170="węgiel",Q170*'Założenia,wskaźniki, listy'!$C$4,IF(N170="gaz",Q170*'Założenia,wskaźniki, listy'!$C$5,IF(N170="drewno",Q170*'Założenia,wskaźniki, listy'!$C$6,IF(N170="pelet",Q170*'Założenia,wskaźniki, listy'!$C$7,IF(N170="olej opałowy",Q170*'Założenia,wskaźniki, listy'!$C$8,IF(N170="sieć ciepłownicza",Q170*'Założenia,wskaźniki, listy'!$C$9,IF(N170="sieć ciepłownicza",Q170*'Założenia,wskaźniki, listy'!$C$10,0)))))))</f>
        <v>0</v>
      </c>
      <c r="AJ170" s="640">
        <f>S170*'Założenia,wskaźniki, listy'!$B$64*1000</f>
        <v>0</v>
      </c>
      <c r="AK170" s="640">
        <f>(H170+I170)*'Założenia,wskaźniki, listy'!$D$64*12</f>
        <v>0</v>
      </c>
      <c r="AL170" s="640">
        <f>AK170*'Założenia,wskaźniki, listy'!$F$64</f>
        <v>0</v>
      </c>
      <c r="AM170" s="639">
        <f t="shared" ref="AM170" si="306">T170+AA170</f>
        <v>3.5999999999999999E-3</v>
      </c>
      <c r="AN170" s="639">
        <f t="shared" ref="AN170" si="307">U170+AB170</f>
        <v>3.5249999999999999E-3</v>
      </c>
      <c r="AO170" s="639">
        <f>V170+AC170+S170*'Założenia,wskaźniki, listy'!$J$46</f>
        <v>0</v>
      </c>
      <c r="AP170" s="639">
        <f t="shared" ref="AP170" si="308">W170+AD170</f>
        <v>9.075000000000001E-7</v>
      </c>
      <c r="AQ170" s="639">
        <f t="shared" ref="AQ170" si="309">X170+AE170</f>
        <v>8.25E-5</v>
      </c>
      <c r="AR170" s="639">
        <f t="shared" ref="AR170" si="310">Y170+AF170</f>
        <v>6.0000000000000006E-4</v>
      </c>
      <c r="AS170" s="639">
        <f t="shared" ref="AS170" si="311">Z170+AG170</f>
        <v>1.3454999999999999E-3</v>
      </c>
      <c r="AT170" s="647"/>
      <c r="AU170" s="647"/>
      <c r="AV170" s="624">
        <f t="shared" si="241"/>
        <v>0</v>
      </c>
      <c r="AW170" s="624" t="b">
        <f t="shared" si="242"/>
        <v>0</v>
      </c>
      <c r="AX170" s="624" t="b">
        <f t="shared" si="243"/>
        <v>0</v>
      </c>
      <c r="AY170" s="624" t="b">
        <f t="shared" si="244"/>
        <v>0</v>
      </c>
      <c r="AZ170" s="624" t="b">
        <f t="shared" si="245"/>
        <v>0</v>
      </c>
      <c r="BA170" s="624" t="b">
        <f t="shared" si="246"/>
        <v>0</v>
      </c>
      <c r="BB170" s="624" t="b">
        <f t="shared" si="247"/>
        <v>0</v>
      </c>
      <c r="BC170" s="624" t="b">
        <f t="shared" si="248"/>
        <v>0</v>
      </c>
      <c r="BD170" s="624" t="b">
        <f t="shared" si="249"/>
        <v>0</v>
      </c>
      <c r="BE170" s="624" t="b">
        <f t="shared" si="250"/>
        <v>0</v>
      </c>
      <c r="BF170" s="624" t="b">
        <f t="shared" si="251"/>
        <v>0</v>
      </c>
      <c r="BG170" s="624" t="b">
        <f t="shared" si="252"/>
        <v>0</v>
      </c>
      <c r="BH170" s="624">
        <f t="shared" si="253"/>
        <v>7.5</v>
      </c>
      <c r="BI170" s="624" t="b">
        <f t="shared" si="254"/>
        <v>0</v>
      </c>
      <c r="BJ170" s="624" t="b">
        <f t="shared" si="255"/>
        <v>0</v>
      </c>
      <c r="BK170" s="624" t="b">
        <f t="shared" si="256"/>
        <v>0</v>
      </c>
      <c r="BL170" s="624" t="b">
        <f t="shared" si="257"/>
        <v>0</v>
      </c>
      <c r="BM170" s="624" t="b">
        <f t="shared" si="258"/>
        <v>0</v>
      </c>
      <c r="BN170" s="624" t="b">
        <f t="shared" si="259"/>
        <v>0</v>
      </c>
      <c r="BO170" s="624" t="b">
        <f t="shared" si="260"/>
        <v>0</v>
      </c>
      <c r="BP170" s="624" t="b">
        <f t="shared" si="261"/>
        <v>0</v>
      </c>
      <c r="BQ170" s="624" t="b">
        <f t="shared" si="262"/>
        <v>0</v>
      </c>
    </row>
    <row r="171" spans="1:69" ht="9" customHeight="1">
      <c r="A171" s="1086">
        <v>84</v>
      </c>
      <c r="B171" s="872" t="s">
        <v>21</v>
      </c>
      <c r="C171" s="873" t="s">
        <v>634</v>
      </c>
      <c r="D171" s="645"/>
      <c r="E171" s="645">
        <v>39</v>
      </c>
      <c r="F171" s="644">
        <v>1993</v>
      </c>
      <c r="G171" s="644">
        <v>200</v>
      </c>
      <c r="H171" s="644"/>
      <c r="I171" s="635"/>
      <c r="J171" s="644">
        <f>IF(F171&lt;=1966,'Założenia,wskaźniki, listy'!$H$4,IF(F171&gt;1966,IF(F171&lt;=1985,'Założenia,wskaźniki, listy'!$H$5,IF(F171&gt;1985,IF(F171&lt;=1992,'Założenia,wskaźniki, listy'!$H$6,IF(F171&gt;1992,IF(F171&lt;=1996,'Założenia,wskaźniki, listy'!$H$7,IF(F171&gt;1996,IF(F171&lt;=2015,'Założenia,wskaźniki, listy'!$H$8)))))))))</f>
        <v>130</v>
      </c>
      <c r="K171" s="864" t="s">
        <v>33</v>
      </c>
      <c r="L171" s="644" t="s">
        <v>79</v>
      </c>
      <c r="M171" s="635">
        <v>3</v>
      </c>
      <c r="N171" s="644"/>
      <c r="O171" s="637">
        <f t="shared" si="240"/>
        <v>59.94</v>
      </c>
      <c r="P171" s="646">
        <f>IF(K171="kompletna",J171*G171*0.0036*'Założenia,wskaźniki, listy'!$P$9,IF(K171="częściowa",J171*G171*0.0036*'Założenia,wskaźniki, listy'!$P$10,IF(K171="brak",J171*G171*0.0036*'Założenia,wskaźniki, listy'!$P$11,0)))</f>
        <v>74.88</v>
      </c>
      <c r="Q171" s="638">
        <f>H171*'Założenia,wskaźniki, listy'!$L$15</f>
        <v>0</v>
      </c>
      <c r="R171" s="635">
        <f>IF(L171="węgiel",'Mieszkalne - baza'!M171*'Założenia,wskaźniki, listy'!$B$4,IF(L171="gaz",'Mieszkalne - baza'!M171*'Założenia,wskaźniki, listy'!$B$5,IF(L171="drewno",'Mieszkalne - baza'!M171*'Założenia,wskaźniki, listy'!$B$6,IF(L171="pelet",'Mieszkalne - baza'!M171*'Założenia,wskaźniki, listy'!$B$7,IF(L171="olej opałowy",'Mieszkalne - baza'!M171*'Założenia,wskaźniki, listy'!$B$8,IF(L171="sieć ciepłownicza",0,0))))))</f>
        <v>45</v>
      </c>
      <c r="S171" s="1084">
        <v>1.6919999999999999</v>
      </c>
      <c r="T171" s="639">
        <f>IF(L171="węgiel",R171*'Założenia,wskaźniki, listy'!$C$44,IF(L171="gaz",R171*'Założenia,wskaźniki, listy'!$D$44,IF(L171="drewno",R171*'Założenia,wskaźniki, listy'!$E$44,IF(L171="pelet",R171*'Założenia,wskaźniki, listy'!$F$44,IF(L171="olej opałowy",R171*'Założenia,wskaźniki, listy'!$G$44,IF(L171="sieć ciepłownicza",0,IF(L171="prąd",0,0)))))))</f>
        <v>2.1600000000000001E-2</v>
      </c>
      <c r="U171" s="639">
        <f>IF(L171="węgiel",R171*'Założenia,wskaźniki, listy'!$C$45,IF(L171="gaz",R171*'Założenia,wskaźniki, listy'!$D$45,IF(L171="drewno",R171*'Założenia,wskaźniki, listy'!$E$45,IF(L171="pelet",R171*'Założenia,wskaźniki, listy'!$F$45,IF(L171="olej opałowy",R171*'Założenia,wskaźniki, listy'!$G$45,IF(L171="sieć ciepłownicza",0,IF(L171="prąd",0,0)))))))</f>
        <v>2.1149999999999999E-2</v>
      </c>
      <c r="V171" s="639">
        <f>IF(L171="węgiel",R171*'Założenia,wskaźniki, listy'!$C$46,IF(L171="gaz",R171*'Założenia,wskaźniki, listy'!$D$46,IF(L171="drewno",R171*'Założenia,wskaźniki, listy'!$E$46,IF(L171="pelet",R171*'Założenia,wskaźniki, listy'!$F$46,IF(L171="olej opałowy",R171*'Założenia,wskaźniki, listy'!$G$46,IF(L171="sieć ciepłownicza",R171*'Założenia,wskaźniki, listy'!$H$46,IF(L171="prąd",R171*'Założenia,wskaźniki, listy'!$I$46,0)))))))</f>
        <v>0</v>
      </c>
      <c r="W171" s="639">
        <f>IF(L171="węgiel",R171*'Założenia,wskaźniki, listy'!$C$47,IF(L171="gaz",R171*'Założenia,wskaźniki, listy'!$D$47,IF(L171="drewno",R171*'Założenia,wskaźniki, listy'!$E$47,IF(L171="pelet",R171*'Założenia,wskaźniki, listy'!$F$47,IF(L171="olej opałowy",R171*'Założenia,wskaźniki, listy'!$G$47,IF(L171="sieć ciepłownicza",0,IF(L171="prąd",0,0)))))))</f>
        <v>5.4450000000000004E-6</v>
      </c>
      <c r="X171" s="639">
        <f>IF(L171="węgiel",R171*'Założenia,wskaźniki, listy'!$C$48, IF(L171="gaz",R171*'Założenia,wskaźniki, listy'!$D$48,IF(L171="drewno",R171*'Założenia,wskaźniki, listy'!$E$48,IF(L171="pelet",R171*'Założenia,wskaźniki, listy'!$F$48,IF(L171="olej opałowy",R171*'Założenia,wskaźniki, listy'!$G$48,IF(L171="sieć ciepłownicza",0,IF(L171="prąd",0,0)))))))</f>
        <v>4.95E-4</v>
      </c>
      <c r="Y171" s="639">
        <f>IF(L171="węgiel",R171*'Założenia,wskaźniki, listy'!$C$49, IF(L171="gaz",R171*'Założenia,wskaźniki, listy'!$D$49, IF(L171="drewno",R171*'Założenia,wskaźniki, listy'!$E$49,IF(L171="pelet",R171*'Założenia,wskaźniki, listy'!$F$49,IF(L171="olej opałowy",R171*'Założenia,wskaźniki, listy'!$G$49,IF(L171="sieć ciepłownicza",0,IF(L171="prąd",0,0)))))))</f>
        <v>3.6000000000000003E-3</v>
      </c>
      <c r="Z171" s="639">
        <f>IF(L171="węgiel",R171*'Założenia,wskaźniki, listy'!$C$50,IF(L171="gaz",R171*'Założenia,wskaźniki, listy'!$D$50, IF(L171="drewno",R171*'Założenia,wskaźniki, listy'!$E$50,IF(L171="pelet",R171*'Założenia,wskaźniki, listy'!$F$50,IF(L171="pelet",R171*'Założenia,wskaźniki, listy'!$F$50,IF(L171="olej opałowy",R171*'Założenia,wskaźniki, listy'!$G$50,IF(L171="sieć ciepłownicza",0,IF(L171="prąd",0,0))))))))</f>
        <v>8.0730000000000003E-3</v>
      </c>
      <c r="AA171" s="639">
        <f>IF(N171="węgiel",Q171*'Założenia,wskaźniki, listy'!$C$44,IF(N171="gaz",Q171*'Założenia,wskaźniki, listy'!$D$44,IF(N171="drewno",Q171*'Założenia,wskaźniki, listy'!$E$44,IF(N171="pelet",Q171*'Założenia,wskaźniki, listy'!$G$44,IF(N171="olej opałowy",Q171*'Założenia,wskaźniki, listy'!$G$44,IF(N171="sieć ciepłownicza",0,IF(N171="prąd",0,0)))))))</f>
        <v>0</v>
      </c>
      <c r="AB171" s="639">
        <f>IF(N171="węgiel",Q171*'Założenia,wskaźniki, listy'!$C$45,IF(N171="gaz",Q171*'Założenia,wskaźniki, listy'!$D$45,IF(N171="drewno",Q171*'Założenia,wskaźniki, listy'!$E$45,IF(N171="pelet",Q171*'Założenia,wskaźniki, listy'!$G$45,IF(N171="olej opałowy",Q171*'Założenia,wskaźniki, listy'!$G$45,IF(N171="sieć ciepłownicza",0,IF(N171="prąd",0,0)))))))</f>
        <v>0</v>
      </c>
      <c r="AC171" s="639">
        <f>IF(N171="węgiel",Q171*'Założenia,wskaźniki, listy'!$C$46,IF(N171="gaz",Q171*'Założenia,wskaźniki, listy'!$D$46,IF(N171="drewno",Q171*'Założenia,wskaźniki, listy'!$E$46,IF(N171="pelet",Q171*'Założenia,wskaźniki, listy'!$G$46,IF(N171="olej opałowy",Q171*'Założenia,wskaźniki, listy'!$G$46,IF(N171="sieć ciepłownicza",0,IF(N171="prąd",0,0)))))))</f>
        <v>0</v>
      </c>
      <c r="AD171" s="639">
        <f>IF(N171="węgiel",Q171*'Założenia,wskaźniki, listy'!$C$47,IF(N171="gaz",Q171*'Założenia,wskaźniki, listy'!$D$47,IF(N171="drewno",Q171*'Założenia,wskaźniki, listy'!$E$47,IF(N171="pelet",Q171*'Założenia,wskaźniki, listy'!$G$47,IF(N171="olej opałowy",Q171*'Założenia,wskaźniki, listy'!$G$47,IF(N171="sieć ciepłownicza",0,IF(N171="prąd",0,0)))))))</f>
        <v>0</v>
      </c>
      <c r="AE171" s="639">
        <f>IF(N171="węgiel",Q171*'Założenia,wskaźniki, listy'!$C$48,IF(N171="gaz",Q171*'Założenia,wskaźniki, listy'!$D$48,IF(N171="drewno",Q171*'Założenia,wskaźniki, listy'!$E$48,IF(N171="pelet",Q171*'Założenia,wskaźniki, listy'!$G$48,IF(N171="olej opałowy",Q171*'Założenia,wskaźniki, listy'!$G$48,IF(N171="sieć ciepłownicza",0,IF(N171="prąd",0,0)))))))</f>
        <v>0</v>
      </c>
      <c r="AF171" s="639">
        <f>IF(N171="węgiel",Q171*'Założenia,wskaźniki, listy'!$C$49,IF(N171="gaz",Q171*'Założenia,wskaźniki, listy'!$D$49,IF(N171="drewno",Q171*'Założenia,wskaźniki, listy'!$E$49,IF(N171="pelet",Q171*'Założenia,wskaźniki, listy'!$G$49,IF(N171="olej opałowy",Q171*'Założenia,wskaźniki, listy'!$G$49,IF(N171="sieć ciepłownicza",0,IF(N171="prąd",0,0)))))))</f>
        <v>0</v>
      </c>
      <c r="AG171" s="639">
        <f>IF(N171="węgiel",Q171*'Założenia,wskaźniki, listy'!$C$50,IF(N171="gaz",Q171*'Założenia,wskaźniki, listy'!$D$50,IF(N171="drewno",Q171*'Założenia,wskaźniki, listy'!$E$50,IF(N171="pelet",Q171*'Założenia,wskaźniki, listy'!$G$50,IF(N171="olej opałowy",Q171*'Założenia,wskaźniki, listy'!$G$50,IF(N171="sieć ciepłownicza",0,IF(N171="prąd",0,0)))))))</f>
        <v>0</v>
      </c>
      <c r="AH171" s="640">
        <f>IF(L171="węgiel",(P171+R171)/2*'Założenia,wskaźniki, listy'!$C$4,IF(L171="gaz",(P171+R171)/2*'Założenia,wskaźniki, listy'!$C$5,IF(L171="drewno",(P171+R171)/2*'Założenia,wskaźniki, listy'!$C$6,IF(L171="pelet",(P171+R171)/2*'Założenia,wskaźniki, listy'!$C$7,IF(L171="olej opałowy",(P171+R171)/2*'Założenia,wskaźniki, listy'!$C$8,IF(L171="sieć ciepłownicza",(P171+R171)/2*'Założenia,wskaźniki, listy'!$C$9,IF(L171="sieć ciepłownicza",(P171+R171)/2*'Założenia,wskaźniki, listy'!$C$10,)))))))</f>
        <v>2277.7199999999998</v>
      </c>
      <c r="AI171" s="640">
        <f>IF(N171="węgiel",Q171*'Założenia,wskaźniki, listy'!$C$4,IF(N171="gaz",Q171*'Założenia,wskaźniki, listy'!$C$5,IF(N171="drewno",Q171*'Założenia,wskaźniki, listy'!$C$6,IF(N171="pelet",Q171*'Założenia,wskaźniki, listy'!$C$7,IF(N171="olej opałowy",Q171*'Założenia,wskaźniki, listy'!$C$8,IF(N171="sieć ciepłownicza",Q171*'Założenia,wskaźniki, listy'!$C$9,IF(N171="sieć ciepłownicza",Q171*'Założenia,wskaźniki, listy'!$C$10,0)))))))</f>
        <v>0</v>
      </c>
      <c r="AJ171" s="640">
        <f>S171*'Założenia,wskaźniki, listy'!$B$64*1000</f>
        <v>1201.32</v>
      </c>
      <c r="AK171" s="640">
        <f>(H171+I171)*'Założenia,wskaźniki, listy'!$D$64*12</f>
        <v>0</v>
      </c>
      <c r="AL171" s="640">
        <f>AK171*'Założenia,wskaźniki, listy'!$F$64</f>
        <v>0</v>
      </c>
      <c r="AM171" s="639">
        <f t="shared" si="206"/>
        <v>2.1600000000000001E-2</v>
      </c>
      <c r="AN171" s="639">
        <f t="shared" si="207"/>
        <v>2.1149999999999999E-2</v>
      </c>
      <c r="AO171" s="639">
        <f>V171+AC171+S171*'Założenia,wskaźniki, listy'!$J$46</f>
        <v>1.406898</v>
      </c>
      <c r="AP171" s="639">
        <f t="shared" si="208"/>
        <v>5.4450000000000004E-6</v>
      </c>
      <c r="AQ171" s="639">
        <f t="shared" si="209"/>
        <v>4.95E-4</v>
      </c>
      <c r="AR171" s="639">
        <f t="shared" si="210"/>
        <v>3.6000000000000003E-3</v>
      </c>
      <c r="AS171" s="639">
        <f t="shared" si="211"/>
        <v>8.0730000000000003E-3</v>
      </c>
      <c r="AT171" s="647"/>
      <c r="AU171" s="647"/>
      <c r="AV171" s="624" t="b">
        <f t="shared" si="241"/>
        <v>0</v>
      </c>
      <c r="AW171" s="624">
        <f t="shared" si="242"/>
        <v>0</v>
      </c>
      <c r="AX171" s="624" t="b">
        <f t="shared" si="243"/>
        <v>0</v>
      </c>
      <c r="AY171" s="624">
        <f t="shared" si="244"/>
        <v>0</v>
      </c>
      <c r="AZ171" s="624" t="b">
        <f t="shared" si="245"/>
        <v>0</v>
      </c>
      <c r="BA171" s="624">
        <f t="shared" si="246"/>
        <v>0</v>
      </c>
      <c r="BB171" s="624">
        <f t="shared" si="247"/>
        <v>200</v>
      </c>
      <c r="BC171" s="624">
        <f t="shared" si="248"/>
        <v>100</v>
      </c>
      <c r="BD171" s="624" t="b">
        <f t="shared" si="249"/>
        <v>0</v>
      </c>
      <c r="BE171" s="624">
        <f t="shared" si="250"/>
        <v>0</v>
      </c>
      <c r="BF171" s="624" t="b">
        <f t="shared" si="251"/>
        <v>0</v>
      </c>
      <c r="BG171" s="624" t="b">
        <f t="shared" si="252"/>
        <v>0</v>
      </c>
      <c r="BH171" s="624">
        <f t="shared" si="253"/>
        <v>45</v>
      </c>
      <c r="BI171" s="624" t="b">
        <f t="shared" si="254"/>
        <v>0</v>
      </c>
      <c r="BJ171" s="624" t="b">
        <f t="shared" si="255"/>
        <v>0</v>
      </c>
      <c r="BK171" s="624" t="b">
        <f t="shared" si="256"/>
        <v>0</v>
      </c>
      <c r="BL171" s="624" t="b">
        <f t="shared" si="257"/>
        <v>0</v>
      </c>
      <c r="BM171" s="624" t="b">
        <f t="shared" si="258"/>
        <v>0</v>
      </c>
      <c r="BN171" s="624" t="b">
        <f t="shared" si="259"/>
        <v>0</v>
      </c>
      <c r="BO171" s="624" t="b">
        <f t="shared" si="260"/>
        <v>0</v>
      </c>
      <c r="BP171" s="624" t="b">
        <f t="shared" si="261"/>
        <v>0</v>
      </c>
      <c r="BQ171" s="624" t="b">
        <f t="shared" si="262"/>
        <v>0</v>
      </c>
    </row>
    <row r="172" spans="1:69" ht="8.25" customHeight="1">
      <c r="A172" s="1086"/>
      <c r="B172" s="872"/>
      <c r="C172" s="872"/>
      <c r="D172" s="645"/>
      <c r="E172" s="645"/>
      <c r="F172" s="644"/>
      <c r="G172" s="644"/>
      <c r="H172" s="644"/>
      <c r="I172" s="635"/>
      <c r="J172" s="644">
        <f>IF(F172&lt;=1966,'Założenia,wskaźniki, listy'!$H$4,IF(F172&gt;1966,IF(F172&lt;=1985,'Założenia,wskaźniki, listy'!$H$5,IF(F172&gt;1985,IF(F172&lt;=1992,'Założenia,wskaźniki, listy'!$H$6,IF(F172&gt;1992,IF(F172&lt;=1996,'Założenia,wskaźniki, listy'!$H$7,IF(F172&gt;1996,IF(F172&lt;=2015,'Założenia,wskaźniki, listy'!$H$8)))))))))</f>
        <v>290</v>
      </c>
      <c r="K172" s="872"/>
      <c r="L172" s="644" t="s">
        <v>8</v>
      </c>
      <c r="M172" s="644">
        <v>1</v>
      </c>
      <c r="N172" s="644"/>
      <c r="O172" s="637">
        <f t="shared" ref="O172" si="312">IF(P172&gt;0,(Q172+R172+P172)/2,Q172+R172)</f>
        <v>22.61</v>
      </c>
      <c r="P172" s="646">
        <f>IF(K172="kompletna",J172*G172*0.0036*'Założenia,wskaźniki, listy'!$P$9,IF(K172="częściowa",J172*G172*0.0036*'Założenia,wskaźniki, listy'!$P$10,IF(K172="brak",J172*G172*0.0036*'Założenia,wskaźniki, listy'!$P$11,0)))</f>
        <v>0</v>
      </c>
      <c r="Q172" s="638">
        <f>H172*'Założenia,wskaźniki, listy'!$L$15</f>
        <v>0</v>
      </c>
      <c r="R172" s="635">
        <f>IF(L172="węgiel",'Mieszkalne - baza'!M172*'Założenia,wskaźniki, listy'!$B$4,IF(L172="gaz",'Mieszkalne - baza'!M172*'Założenia,wskaźniki, listy'!$B$5,IF(L172="drewno",'Mieszkalne - baza'!M172*'Założenia,wskaźniki, listy'!$B$6,IF(L172="pelet",'Mieszkalne - baza'!M172*'Założenia,wskaźniki, listy'!$B$7,IF(L172="olej opałowy",'Mieszkalne - baza'!M172*'Założenia,wskaźniki, listy'!$B$8,IF(L172="sieć ciepłownicza",0,0))))))</f>
        <v>22.61</v>
      </c>
      <c r="S172" s="1085"/>
      <c r="T172" s="639">
        <f>IF(L172="węgiel",R172*'Założenia,wskaźniki, listy'!$C$44,IF(L172="gaz",R172*'Założenia,wskaźniki, listy'!$D$44,IF(L172="drewno",R172*'Założenia,wskaźniki, listy'!$E$44,IF(L172="pelet",R172*'Założenia,wskaźniki, listy'!$F$44,IF(L172="olej opałowy",R172*'Założenia,wskaźniki, listy'!$G$44,IF(L172="sieć ciepłownicza",0,IF(L172="prąd",0,0)))))))</f>
        <v>5.0872499999999998E-3</v>
      </c>
      <c r="U172" s="639">
        <f>IF(L172="węgiel",R172*'Założenia,wskaźniki, listy'!$C$45,IF(L172="gaz",R172*'Założenia,wskaźniki, listy'!$D$45,IF(L172="drewno",R172*'Założenia,wskaźniki, listy'!$E$45,IF(L172="pelet",R172*'Założenia,wskaźniki, listy'!$F$45,IF(L172="olej opałowy",R172*'Założenia,wskaźniki, listy'!$G$45,IF(L172="sieć ciepłownicza",0,IF(L172="prąd",0,0)))))))</f>
        <v>4.5446100000000001E-3</v>
      </c>
      <c r="V172" s="639">
        <f>IF(L172="węgiel",R172*'Założenia,wskaźniki, listy'!$C$46,IF(L172="gaz",R172*'Założenia,wskaźniki, listy'!$D$46,IF(L172="drewno",R172*'Założenia,wskaźniki, listy'!$E$46,IF(L172="pelet",R172*'Założenia,wskaźniki, listy'!$F$46,IF(L172="olej opałowy",R172*'Założenia,wskaźniki, listy'!$G$46,IF(L172="sieć ciepłownicza",R172*'Założenia,wskaźniki, listy'!$H$46,IF(L172="prąd",R172*'Założenia,wskaźniki, listy'!$I$46,0)))))))</f>
        <v>2.1194613999999996</v>
      </c>
      <c r="W172" s="639">
        <f>IF(L172="węgiel",R172*'Założenia,wskaźniki, listy'!$C$47,IF(L172="gaz",R172*'Założenia,wskaźniki, listy'!$D$47,IF(L172="drewno",R172*'Założenia,wskaźniki, listy'!$E$47,IF(L172="pelet",R172*'Założenia,wskaźniki, listy'!$F$47,IF(L172="olej opałowy",R172*'Założenia,wskaźniki, listy'!$G$47,IF(L172="sieć ciepłownicza",0,IF(L172="prąd",0,0)))))))</f>
        <v>6.1047000000000002E-6</v>
      </c>
      <c r="X172" s="639">
        <f>IF(L172="węgiel",R172*'Założenia,wskaźniki, listy'!$C$48, IF(L172="gaz",R172*'Założenia,wskaźniki, listy'!$D$48,IF(L172="drewno",R172*'Założenia,wskaźniki, listy'!$E$48,IF(L172="pelet",R172*'Założenia,wskaźniki, listy'!$F$48,IF(L172="olej opałowy",R172*'Założenia,wskaźniki, listy'!$G$48,IF(L172="sieć ciepłownicza",0,IF(L172="prąd",0,0)))))))</f>
        <v>2.0348999999999999E-2</v>
      </c>
      <c r="Y172" s="639">
        <f>IF(L172="węgiel",R172*'Założenia,wskaźniki, listy'!$C$49, IF(L172="gaz",R172*'Założenia,wskaźniki, listy'!$D$49, IF(L172="drewno",R172*'Założenia,wskaźniki, listy'!$E$49,IF(L172="pelet",R172*'Założenia,wskaźniki, listy'!$F$49,IF(L172="olej opałowy",R172*'Założenia,wskaźniki, listy'!$G$49,IF(L172="sieć ciepłownicza",0,IF(L172="prąd",0,0)))))))</f>
        <v>3.5723799999999996E-3</v>
      </c>
      <c r="Z172" s="639">
        <f>IF(L172="węgiel",R172*'Założenia,wskaźniki, listy'!$C$50,IF(L172="gaz",R172*'Założenia,wskaźniki, listy'!$D$50, IF(L172="drewno",R172*'Założenia,wskaźniki, listy'!$E$50,IF(L172="pelet",R172*'Założenia,wskaźniki, listy'!$F$50,IF(L172="pelet",R172*'Założenia,wskaźniki, listy'!$F$50,IF(L172="olej opałowy",R172*'Założenia,wskaźniki, listy'!$G$50,IF(L172="sieć ciepłownicza",0,IF(L172="prąd",0,0))))))))</f>
        <v>4.5482789450156456E-2</v>
      </c>
      <c r="AA172" s="639">
        <f>IF(N172="węgiel",Q172*'Założenia,wskaźniki, listy'!$C$44,IF(N172="gaz",Q172*'Założenia,wskaźniki, listy'!$D$44,IF(N172="drewno",Q172*'Założenia,wskaźniki, listy'!$E$44,IF(N172="pelet",Q172*'Założenia,wskaźniki, listy'!$G$44,IF(N172="olej opałowy",Q172*'Założenia,wskaźniki, listy'!$G$44,IF(N172="sieć ciepłownicza",0,IF(N172="prąd",0,0)))))))</f>
        <v>0</v>
      </c>
      <c r="AB172" s="639">
        <f>IF(N172="węgiel",Q172*'Założenia,wskaźniki, listy'!$C$45,IF(N172="gaz",Q172*'Założenia,wskaźniki, listy'!$D$45,IF(N172="drewno",Q172*'Założenia,wskaźniki, listy'!$E$45,IF(N172="pelet",Q172*'Założenia,wskaźniki, listy'!$G$45,IF(N172="olej opałowy",Q172*'Założenia,wskaźniki, listy'!$G$45,IF(N172="sieć ciepłownicza",0,IF(N172="prąd",0,0)))))))</f>
        <v>0</v>
      </c>
      <c r="AC172" s="639">
        <f>IF(N172="węgiel",Q172*'Założenia,wskaźniki, listy'!$C$46,IF(N172="gaz",Q172*'Założenia,wskaźniki, listy'!$D$46,IF(N172="drewno",Q172*'Założenia,wskaźniki, listy'!$E$46,IF(N172="pelet",Q172*'Założenia,wskaźniki, listy'!$G$46,IF(N172="olej opałowy",Q172*'Założenia,wskaźniki, listy'!$G$46,IF(N172="sieć ciepłownicza",0,IF(N172="prąd",0,0)))))))</f>
        <v>0</v>
      </c>
      <c r="AD172" s="639">
        <f>IF(N172="węgiel",Q172*'Założenia,wskaźniki, listy'!$C$47,IF(N172="gaz",Q172*'Założenia,wskaźniki, listy'!$D$47,IF(N172="drewno",Q172*'Założenia,wskaźniki, listy'!$E$47,IF(N172="pelet",Q172*'Założenia,wskaźniki, listy'!$G$47,IF(N172="olej opałowy",Q172*'Założenia,wskaźniki, listy'!$G$47,IF(N172="sieć ciepłownicza",0,IF(N172="prąd",0,0)))))))</f>
        <v>0</v>
      </c>
      <c r="AE172" s="639">
        <f>IF(N172="węgiel",Q172*'Założenia,wskaźniki, listy'!$C$48,IF(N172="gaz",Q172*'Założenia,wskaźniki, listy'!$D$48,IF(N172="drewno",Q172*'Założenia,wskaźniki, listy'!$E$48,IF(N172="pelet",Q172*'Założenia,wskaźniki, listy'!$G$48,IF(N172="olej opałowy",Q172*'Założenia,wskaźniki, listy'!$G$48,IF(N172="sieć ciepłownicza",0,IF(N172="prąd",0,0)))))))</f>
        <v>0</v>
      </c>
      <c r="AF172" s="639">
        <f>IF(N172="węgiel",Q172*'Założenia,wskaźniki, listy'!$C$49,IF(N172="gaz",Q172*'Założenia,wskaźniki, listy'!$D$49,IF(N172="drewno",Q172*'Założenia,wskaźniki, listy'!$E$49,IF(N172="pelet",Q172*'Założenia,wskaźniki, listy'!$G$49,IF(N172="olej opałowy",Q172*'Założenia,wskaźniki, listy'!$G$49,IF(N172="sieć ciepłownicza",0,IF(N172="prąd",0,0)))))))</f>
        <v>0</v>
      </c>
      <c r="AG172" s="639">
        <f>IF(N172="węgiel",Q172*'Założenia,wskaźniki, listy'!$C$50,IF(N172="gaz",Q172*'Założenia,wskaźniki, listy'!$D$50,IF(N172="drewno",Q172*'Założenia,wskaźniki, listy'!$E$50,IF(N172="pelet",Q172*'Założenia,wskaźniki, listy'!$G$50,IF(N172="olej opałowy",Q172*'Założenia,wskaźniki, listy'!$G$50,IF(N172="sieć ciepłownicza",0,IF(N172="prąd",0,0)))))))</f>
        <v>0</v>
      </c>
      <c r="AH172" s="640">
        <f>IF(L172="węgiel",(P172+R172)/2*'Założenia,wskaźniki, listy'!$C$4,IF(L172="gaz",(P172+R172)/2*'Założenia,wskaźniki, listy'!$C$5,IF(L172="drewno",(P172+R172)/2*'Założenia,wskaźniki, listy'!$C$6,IF(L172="pelet",(P172+R172)/2*'Założenia,wskaźniki, listy'!$C$7,IF(L172="olej opałowy",(P172+R172)/2*'Założenia,wskaźniki, listy'!$C$8,IF(L172="sieć ciepłownicza",(P172+R172)/2*'Założenia,wskaźniki, listy'!$C$9,IF(L172="sieć ciepłownicza",(P172+R172)/2*'Założenia,wskaźniki, listy'!$C$10,)))))))</f>
        <v>463.505</v>
      </c>
      <c r="AI172" s="640">
        <f>IF(N172="węgiel",Q172*'Założenia,wskaźniki, listy'!$C$4,IF(N172="gaz",Q172*'Założenia,wskaźniki, listy'!$C$5,IF(N172="drewno",Q172*'Założenia,wskaźniki, listy'!$C$6,IF(N172="pelet",Q172*'Założenia,wskaźniki, listy'!$C$7,IF(N172="olej opałowy",Q172*'Założenia,wskaźniki, listy'!$C$8,IF(N172="sieć ciepłownicza",Q172*'Założenia,wskaźniki, listy'!$C$9,IF(N172="sieć ciepłownicza",Q172*'Założenia,wskaźniki, listy'!$C$10,0)))))))</f>
        <v>0</v>
      </c>
      <c r="AJ172" s="640">
        <f>S172*'Założenia,wskaźniki, listy'!$B$64*1000</f>
        <v>0</v>
      </c>
      <c r="AK172" s="640">
        <f>(H172+I172)*'Założenia,wskaźniki, listy'!$D$64*12</f>
        <v>0</v>
      </c>
      <c r="AL172" s="640">
        <f>AK172*'Założenia,wskaźniki, listy'!$F$64</f>
        <v>0</v>
      </c>
      <c r="AM172" s="639">
        <f t="shared" ref="AM172" si="313">T172+AA172</f>
        <v>5.0872499999999998E-3</v>
      </c>
      <c r="AN172" s="639">
        <f t="shared" ref="AN172" si="314">U172+AB172</f>
        <v>4.5446100000000001E-3</v>
      </c>
      <c r="AO172" s="639">
        <f>V172+AC172+S172*'Założenia,wskaźniki, listy'!$J$46</f>
        <v>2.1194613999999996</v>
      </c>
      <c r="AP172" s="639">
        <f t="shared" ref="AP172" si="315">W172+AD172</f>
        <v>6.1047000000000002E-6</v>
      </c>
      <c r="AQ172" s="639">
        <f t="shared" ref="AQ172" si="316">X172+AE172</f>
        <v>2.0348999999999999E-2</v>
      </c>
      <c r="AR172" s="639">
        <f t="shared" ref="AR172" si="317">Y172+AF172</f>
        <v>3.5723799999999996E-3</v>
      </c>
      <c r="AS172" s="639">
        <f t="shared" ref="AS172" si="318">Z172+AG172</f>
        <v>4.5482789450156456E-2</v>
      </c>
      <c r="AT172" s="647"/>
      <c r="AU172" s="647"/>
      <c r="AV172" s="624">
        <f t="shared" si="241"/>
        <v>0</v>
      </c>
      <c r="AW172" s="624" t="b">
        <f t="shared" si="242"/>
        <v>0</v>
      </c>
      <c r="AX172" s="624" t="b">
        <f t="shared" si="243"/>
        <v>0</v>
      </c>
      <c r="AY172" s="624" t="b">
        <f t="shared" si="244"/>
        <v>0</v>
      </c>
      <c r="AZ172" s="624" t="b">
        <f t="shared" si="245"/>
        <v>0</v>
      </c>
      <c r="BA172" s="624" t="b">
        <f t="shared" si="246"/>
        <v>0</v>
      </c>
      <c r="BB172" s="624" t="b">
        <f t="shared" si="247"/>
        <v>0</v>
      </c>
      <c r="BC172" s="624" t="b">
        <f t="shared" si="248"/>
        <v>0</v>
      </c>
      <c r="BD172" s="624" t="b">
        <f t="shared" si="249"/>
        <v>0</v>
      </c>
      <c r="BE172" s="624" t="b">
        <f t="shared" si="250"/>
        <v>0</v>
      </c>
      <c r="BF172" s="624">
        <f t="shared" si="251"/>
        <v>22.61</v>
      </c>
      <c r="BG172" s="624" t="b">
        <f t="shared" si="252"/>
        <v>0</v>
      </c>
      <c r="BH172" s="624" t="b">
        <f t="shared" si="253"/>
        <v>0</v>
      </c>
      <c r="BI172" s="624" t="b">
        <f t="shared" si="254"/>
        <v>0</v>
      </c>
      <c r="BJ172" s="624" t="b">
        <f t="shared" si="255"/>
        <v>0</v>
      </c>
      <c r="BK172" s="624" t="b">
        <f t="shared" si="256"/>
        <v>0</v>
      </c>
      <c r="BL172" s="624" t="b">
        <f t="shared" si="257"/>
        <v>0</v>
      </c>
      <c r="BM172" s="624" t="b">
        <f t="shared" si="258"/>
        <v>0</v>
      </c>
      <c r="BN172" s="624" t="b">
        <f t="shared" si="259"/>
        <v>0</v>
      </c>
      <c r="BO172" s="624" t="b">
        <f t="shared" si="260"/>
        <v>0</v>
      </c>
      <c r="BP172" s="624" t="b">
        <f t="shared" si="261"/>
        <v>0</v>
      </c>
      <c r="BQ172" s="624" t="b">
        <f t="shared" si="262"/>
        <v>0</v>
      </c>
    </row>
    <row r="173" spans="1:69" ht="8.25" customHeight="1">
      <c r="A173" s="1086">
        <v>85</v>
      </c>
      <c r="B173" s="872" t="s">
        <v>21</v>
      </c>
      <c r="C173" s="873" t="s">
        <v>634</v>
      </c>
      <c r="D173" s="645"/>
      <c r="E173" s="645">
        <v>40</v>
      </c>
      <c r="F173" s="644">
        <v>1994</v>
      </c>
      <c r="G173" s="644">
        <v>160</v>
      </c>
      <c r="H173" s="644"/>
      <c r="I173" s="635"/>
      <c r="J173" s="644">
        <f>IF(F173&lt;=1966,'Założenia,wskaźniki, listy'!$H$4,IF(F173&gt;1966,IF(F173&lt;=1985,'Założenia,wskaźniki, listy'!$H$5,IF(F173&gt;1985,IF(F173&lt;=1992,'Założenia,wskaźniki, listy'!$H$6,IF(F173&gt;1992,IF(F173&lt;=1996,'Założenia,wskaźniki, listy'!$H$7,IF(F173&gt;1996,IF(F173&lt;=2015,'Założenia,wskaźniki, listy'!$H$8)))))))))</f>
        <v>130</v>
      </c>
      <c r="K173" s="864" t="s">
        <v>33</v>
      </c>
      <c r="L173" s="644" t="s">
        <v>8</v>
      </c>
      <c r="M173" s="644">
        <v>2</v>
      </c>
      <c r="N173" s="644"/>
      <c r="O173" s="637">
        <f t="shared" si="240"/>
        <v>52.561999999999998</v>
      </c>
      <c r="P173" s="646">
        <f>IF(K173="kompletna",J173*G173*0.0036*'Założenia,wskaźniki, listy'!$P$9,IF(K173="częściowa",J173*G173*0.0036*'Założenia,wskaźniki, listy'!$P$10,IF(K173="brak",J173*G173*0.0036*'Założenia,wskaźniki, listy'!$P$11,0)))</f>
        <v>59.903999999999996</v>
      </c>
      <c r="Q173" s="638">
        <f>H173*'Założenia,wskaźniki, listy'!$L$15</f>
        <v>0</v>
      </c>
      <c r="R173" s="635">
        <f>IF(L173="węgiel",'Mieszkalne - baza'!M173*'Założenia,wskaźniki, listy'!$B$4,IF(L173="gaz",'Mieszkalne - baza'!M173*'Założenia,wskaźniki, listy'!$B$5,IF(L173="drewno",'Mieszkalne - baza'!M173*'Założenia,wskaźniki, listy'!$B$6,IF(L173="pelet",'Mieszkalne - baza'!M173*'Założenia,wskaźniki, listy'!$B$7,IF(L173="olej opałowy",'Mieszkalne - baza'!M173*'Założenia,wskaźniki, listy'!$B$8,IF(L173="sieć ciepłownicza",0,0))))))</f>
        <v>45.22</v>
      </c>
      <c r="S173" s="1084">
        <v>2.0304000000000002</v>
      </c>
      <c r="T173" s="639">
        <f>IF(L173="węgiel",R173*'Założenia,wskaźniki, listy'!$C$44,IF(L173="gaz",R173*'Założenia,wskaźniki, listy'!$D$44,IF(L173="drewno",R173*'Założenia,wskaźniki, listy'!$E$44,IF(L173="pelet",R173*'Założenia,wskaźniki, listy'!$F$44,IF(L173="olej opałowy",R173*'Założenia,wskaźniki, listy'!$G$44,IF(L173="sieć ciepłownicza",0,IF(L173="prąd",0,0)))))))</f>
        <v>1.01745E-2</v>
      </c>
      <c r="U173" s="639">
        <f>IF(L173="węgiel",R173*'Założenia,wskaźniki, listy'!$C$45,IF(L173="gaz",R173*'Założenia,wskaźniki, listy'!$D$45,IF(L173="drewno",R173*'Założenia,wskaźniki, listy'!$E$45,IF(L173="pelet",R173*'Założenia,wskaźniki, listy'!$F$45,IF(L173="olej opałowy",R173*'Założenia,wskaźniki, listy'!$G$45,IF(L173="sieć ciepłownicza",0,IF(L173="prąd",0,0)))))))</f>
        <v>9.0892200000000003E-3</v>
      </c>
      <c r="V173" s="639">
        <f>IF(L173="węgiel",R173*'Założenia,wskaźniki, listy'!$C$46,IF(L173="gaz",R173*'Założenia,wskaźniki, listy'!$D$46,IF(L173="drewno",R173*'Założenia,wskaźniki, listy'!$E$46,IF(L173="pelet",R173*'Założenia,wskaźniki, listy'!$F$46,IF(L173="olej opałowy",R173*'Założenia,wskaźniki, listy'!$G$46,IF(L173="sieć ciepłownicza",R173*'Założenia,wskaźniki, listy'!$H$46,IF(L173="prąd",R173*'Założenia,wskaźniki, listy'!$I$46,0)))))))</f>
        <v>4.2389227999999992</v>
      </c>
      <c r="W173" s="639">
        <f>IF(L173="węgiel",R173*'Założenia,wskaźniki, listy'!$C$47,IF(L173="gaz",R173*'Założenia,wskaźniki, listy'!$D$47,IF(L173="drewno",R173*'Założenia,wskaźniki, listy'!$E$47,IF(L173="pelet",R173*'Założenia,wskaźniki, listy'!$F$47,IF(L173="olej opałowy",R173*'Założenia,wskaźniki, listy'!$G$47,IF(L173="sieć ciepłownicza",0,IF(L173="prąd",0,0)))))))</f>
        <v>1.22094E-5</v>
      </c>
      <c r="X173" s="639">
        <f>IF(L173="węgiel",R173*'Założenia,wskaźniki, listy'!$C$48, IF(L173="gaz",R173*'Założenia,wskaźniki, listy'!$D$48,IF(L173="drewno",R173*'Założenia,wskaźniki, listy'!$E$48,IF(L173="pelet",R173*'Założenia,wskaźniki, listy'!$F$48,IF(L173="olej opałowy",R173*'Założenia,wskaźniki, listy'!$G$48,IF(L173="sieć ciepłownicza",0,IF(L173="prąd",0,0)))))))</f>
        <v>4.0697999999999998E-2</v>
      </c>
      <c r="Y173" s="639">
        <f>IF(L173="węgiel",R173*'Założenia,wskaźniki, listy'!$C$49, IF(L173="gaz",R173*'Założenia,wskaźniki, listy'!$D$49, IF(L173="drewno",R173*'Założenia,wskaźniki, listy'!$E$49,IF(L173="pelet",R173*'Założenia,wskaźniki, listy'!$F$49,IF(L173="olej opałowy",R173*'Założenia,wskaźniki, listy'!$G$49,IF(L173="sieć ciepłownicza",0,IF(L173="prąd",0,0)))))))</f>
        <v>7.1447599999999991E-3</v>
      </c>
      <c r="Z173" s="639">
        <f>IF(L173="węgiel",R173*'Założenia,wskaźniki, listy'!$C$50,IF(L173="gaz",R173*'Założenia,wskaźniki, listy'!$D$50, IF(L173="drewno",R173*'Założenia,wskaźniki, listy'!$E$50,IF(L173="pelet",R173*'Założenia,wskaźniki, listy'!$F$50,IF(L173="pelet",R173*'Założenia,wskaźniki, listy'!$F$50,IF(L173="olej opałowy",R173*'Założenia,wskaźniki, listy'!$G$50,IF(L173="sieć ciepłownicza",0,IF(L173="prąd",0,0))))))))</f>
        <v>9.0965578900312913E-2</v>
      </c>
      <c r="AA173" s="639">
        <f>IF(N173="węgiel",Q173*'Założenia,wskaźniki, listy'!$C$44,IF(N173="gaz",Q173*'Założenia,wskaźniki, listy'!$D$44,IF(N173="drewno",Q173*'Założenia,wskaźniki, listy'!$E$44,IF(N173="pelet",Q173*'Założenia,wskaźniki, listy'!$G$44,IF(N173="olej opałowy",Q173*'Założenia,wskaźniki, listy'!$G$44,IF(N173="sieć ciepłownicza",0,IF(N173="prąd",0,0)))))))</f>
        <v>0</v>
      </c>
      <c r="AB173" s="639">
        <f>IF(N173="węgiel",Q173*'Założenia,wskaźniki, listy'!$C$45,IF(N173="gaz",Q173*'Założenia,wskaźniki, listy'!$D$45,IF(N173="drewno",Q173*'Założenia,wskaźniki, listy'!$E$45,IF(N173="pelet",Q173*'Założenia,wskaźniki, listy'!$G$45,IF(N173="olej opałowy",Q173*'Założenia,wskaźniki, listy'!$G$45,IF(N173="sieć ciepłownicza",0,IF(N173="prąd",0,0)))))))</f>
        <v>0</v>
      </c>
      <c r="AC173" s="639">
        <f>IF(N173="węgiel",Q173*'Założenia,wskaźniki, listy'!$C$46,IF(N173="gaz",Q173*'Założenia,wskaźniki, listy'!$D$46,IF(N173="drewno",Q173*'Założenia,wskaźniki, listy'!$E$46,IF(N173="pelet",Q173*'Założenia,wskaźniki, listy'!$G$46,IF(N173="olej opałowy",Q173*'Założenia,wskaźniki, listy'!$G$46,IF(N173="sieć ciepłownicza",0,IF(N173="prąd",0,0)))))))</f>
        <v>0</v>
      </c>
      <c r="AD173" s="639">
        <f>IF(N173="węgiel",Q173*'Założenia,wskaźniki, listy'!$C$47,IF(N173="gaz",Q173*'Założenia,wskaźniki, listy'!$D$47,IF(N173="drewno",Q173*'Założenia,wskaźniki, listy'!$E$47,IF(N173="pelet",Q173*'Założenia,wskaźniki, listy'!$G$47,IF(N173="olej opałowy",Q173*'Założenia,wskaźniki, listy'!$G$47,IF(N173="sieć ciepłownicza",0,IF(N173="prąd",0,0)))))))</f>
        <v>0</v>
      </c>
      <c r="AE173" s="639">
        <f>IF(N173="węgiel",Q173*'Założenia,wskaźniki, listy'!$C$48,IF(N173="gaz",Q173*'Założenia,wskaźniki, listy'!$D$48,IF(N173="drewno",Q173*'Założenia,wskaźniki, listy'!$E$48,IF(N173="pelet",Q173*'Założenia,wskaźniki, listy'!$G$48,IF(N173="olej opałowy",Q173*'Założenia,wskaźniki, listy'!$G$48,IF(N173="sieć ciepłownicza",0,IF(N173="prąd",0,0)))))))</f>
        <v>0</v>
      </c>
      <c r="AF173" s="639">
        <f>IF(N173="węgiel",Q173*'Założenia,wskaźniki, listy'!$C$49,IF(N173="gaz",Q173*'Założenia,wskaźniki, listy'!$D$49,IF(N173="drewno",Q173*'Założenia,wskaźniki, listy'!$E$49,IF(N173="pelet",Q173*'Założenia,wskaźniki, listy'!$G$49,IF(N173="olej opałowy",Q173*'Założenia,wskaźniki, listy'!$G$49,IF(N173="sieć ciepłownicza",0,IF(N173="prąd",0,0)))))))</f>
        <v>0</v>
      </c>
      <c r="AG173" s="639">
        <f>IF(N173="węgiel",Q173*'Założenia,wskaźniki, listy'!$C$50,IF(N173="gaz",Q173*'Założenia,wskaźniki, listy'!$D$50,IF(N173="drewno",Q173*'Założenia,wskaźniki, listy'!$E$50,IF(N173="pelet",Q173*'Założenia,wskaźniki, listy'!$G$50,IF(N173="olej opałowy",Q173*'Założenia,wskaźniki, listy'!$G$50,IF(N173="sieć ciepłownicza",0,IF(N173="prąd",0,0)))))))</f>
        <v>0</v>
      </c>
      <c r="AH173" s="640">
        <f>IF(L173="węgiel",(P173+R173)/2*'Założenia,wskaźniki, listy'!$C$4,IF(L173="gaz",(P173+R173)/2*'Założenia,wskaźniki, listy'!$C$5,IF(L173="drewno",(P173+R173)/2*'Założenia,wskaźniki, listy'!$C$6,IF(L173="pelet",(P173+R173)/2*'Założenia,wskaźniki, listy'!$C$7,IF(L173="olej opałowy",(P173+R173)/2*'Założenia,wskaźniki, listy'!$C$8,IF(L173="sieć ciepłownicza",(P173+R173)/2*'Założenia,wskaźniki, listy'!$C$9,IF(L173="sieć ciepłownicza",(P173+R173)/2*'Założenia,wskaźniki, listy'!$C$10,)))))))</f>
        <v>2155.0419999999999</v>
      </c>
      <c r="AI173" s="640">
        <f>IF(N173="węgiel",Q173*'Założenia,wskaźniki, listy'!$C$4,IF(N173="gaz",Q173*'Założenia,wskaźniki, listy'!$C$5,IF(N173="drewno",Q173*'Założenia,wskaźniki, listy'!$C$6,IF(N173="pelet",Q173*'Założenia,wskaźniki, listy'!$C$7,IF(N173="olej opałowy",Q173*'Założenia,wskaźniki, listy'!$C$8,IF(N173="sieć ciepłownicza",Q173*'Założenia,wskaźniki, listy'!$C$9,IF(N173="sieć ciepłownicza",Q173*'Założenia,wskaźniki, listy'!$C$10,0)))))))</f>
        <v>0</v>
      </c>
      <c r="AJ173" s="640">
        <f>S173*'Założenia,wskaźniki, listy'!$B$64*1000</f>
        <v>1441.5840000000001</v>
      </c>
      <c r="AK173" s="640">
        <f>(H173+I173)*'Założenia,wskaźniki, listy'!$D$64*12</f>
        <v>0</v>
      </c>
      <c r="AL173" s="640">
        <f>AK173*'Założenia,wskaźniki, listy'!$F$64</f>
        <v>0</v>
      </c>
      <c r="AM173" s="639">
        <f t="shared" si="206"/>
        <v>1.01745E-2</v>
      </c>
      <c r="AN173" s="639">
        <f t="shared" si="207"/>
        <v>9.0892200000000003E-3</v>
      </c>
      <c r="AO173" s="639">
        <f>V173+AC173+S173*'Założenia,wskaźniki, listy'!$J$46</f>
        <v>5.9272003999999994</v>
      </c>
      <c r="AP173" s="639">
        <f t="shared" si="208"/>
        <v>1.22094E-5</v>
      </c>
      <c r="AQ173" s="639">
        <f t="shared" si="209"/>
        <v>4.0697999999999998E-2</v>
      </c>
      <c r="AR173" s="639">
        <f t="shared" si="210"/>
        <v>7.1447599999999991E-3</v>
      </c>
      <c r="AS173" s="639">
        <f t="shared" si="211"/>
        <v>9.0965578900312913E-2</v>
      </c>
      <c r="AT173" s="647"/>
      <c r="AU173" s="647"/>
      <c r="AV173" s="624" t="b">
        <f t="shared" si="241"/>
        <v>0</v>
      </c>
      <c r="AW173" s="624">
        <f t="shared" si="242"/>
        <v>0</v>
      </c>
      <c r="AX173" s="624" t="b">
        <f t="shared" si="243"/>
        <v>0</v>
      </c>
      <c r="AY173" s="624">
        <f t="shared" si="244"/>
        <v>0</v>
      </c>
      <c r="AZ173" s="624" t="b">
        <f t="shared" si="245"/>
        <v>0</v>
      </c>
      <c r="BA173" s="624">
        <f t="shared" si="246"/>
        <v>0</v>
      </c>
      <c r="BB173" s="624">
        <f t="shared" si="247"/>
        <v>160</v>
      </c>
      <c r="BC173" s="624">
        <f t="shared" si="248"/>
        <v>80</v>
      </c>
      <c r="BD173" s="624" t="b">
        <f t="shared" si="249"/>
        <v>0</v>
      </c>
      <c r="BE173" s="624">
        <f t="shared" si="250"/>
        <v>0</v>
      </c>
      <c r="BF173" s="624">
        <f t="shared" si="251"/>
        <v>45.22</v>
      </c>
      <c r="BG173" s="624" t="b">
        <f t="shared" si="252"/>
        <v>0</v>
      </c>
      <c r="BH173" s="624" t="b">
        <f t="shared" si="253"/>
        <v>0</v>
      </c>
      <c r="BI173" s="624" t="b">
        <f t="shared" si="254"/>
        <v>0</v>
      </c>
      <c r="BJ173" s="624" t="b">
        <f t="shared" si="255"/>
        <v>0</v>
      </c>
      <c r="BK173" s="624" t="b">
        <f t="shared" si="256"/>
        <v>0</v>
      </c>
      <c r="BL173" s="624" t="b">
        <f t="shared" si="257"/>
        <v>0</v>
      </c>
      <c r="BM173" s="624" t="b">
        <f t="shared" si="258"/>
        <v>0</v>
      </c>
      <c r="BN173" s="624" t="b">
        <f t="shared" si="259"/>
        <v>0</v>
      </c>
      <c r="BO173" s="624" t="b">
        <f t="shared" si="260"/>
        <v>0</v>
      </c>
      <c r="BP173" s="624" t="b">
        <f t="shared" si="261"/>
        <v>0</v>
      </c>
      <c r="BQ173" s="624" t="b">
        <f t="shared" si="262"/>
        <v>0</v>
      </c>
    </row>
    <row r="174" spans="1:69" ht="8.25" customHeight="1">
      <c r="A174" s="1086"/>
      <c r="B174" s="872"/>
      <c r="C174" s="872"/>
      <c r="D174" s="645"/>
      <c r="E174" s="645"/>
      <c r="F174" s="644"/>
      <c r="G174" s="644"/>
      <c r="H174" s="644"/>
      <c r="I174" s="635"/>
      <c r="J174" s="644">
        <f>IF(F174&lt;=1966,'Założenia,wskaźniki, listy'!$H$4,IF(F174&gt;1966,IF(F174&lt;=1985,'Założenia,wskaźniki, listy'!$H$5,IF(F174&gt;1985,IF(F174&lt;=1992,'Założenia,wskaźniki, listy'!$H$6,IF(F174&gt;1992,IF(F174&lt;=1996,'Założenia,wskaźniki, listy'!$H$7,IF(F174&gt;1996,IF(F174&lt;=2015,'Założenia,wskaźniki, listy'!$H$8)))))))))</f>
        <v>290</v>
      </c>
      <c r="K174" s="872"/>
      <c r="L174" s="644" t="s">
        <v>79</v>
      </c>
      <c r="M174" s="644">
        <v>1</v>
      </c>
      <c r="N174" s="644"/>
      <c r="O174" s="637">
        <f t="shared" ref="O174" si="319">IF(P174&gt;0,(Q174+R174+P174)/2,Q174+R174)</f>
        <v>15</v>
      </c>
      <c r="P174" s="646">
        <f>IF(K174="kompletna",J174*G174*0.0036*'Założenia,wskaźniki, listy'!$P$9,IF(K174="częściowa",J174*G174*0.0036*'Założenia,wskaźniki, listy'!$P$10,IF(K174="brak",J174*G174*0.0036*'Założenia,wskaźniki, listy'!$P$11,0)))</f>
        <v>0</v>
      </c>
      <c r="Q174" s="638">
        <f>H174*'Założenia,wskaźniki, listy'!$L$15</f>
        <v>0</v>
      </c>
      <c r="R174" s="635">
        <f>IF(L174="węgiel",'Mieszkalne - baza'!M174*'Założenia,wskaźniki, listy'!$B$4,IF(L174="gaz",'Mieszkalne - baza'!M174*'Założenia,wskaźniki, listy'!$B$5,IF(L174="drewno",'Mieszkalne - baza'!M174*'Założenia,wskaźniki, listy'!$B$6,IF(L174="pelet",'Mieszkalne - baza'!M174*'Założenia,wskaźniki, listy'!$B$7,IF(L174="olej opałowy",'Mieszkalne - baza'!M174*'Założenia,wskaźniki, listy'!$B$8,IF(L174="sieć ciepłownicza",0,0))))))</f>
        <v>15</v>
      </c>
      <c r="S174" s="1085"/>
      <c r="T174" s="639">
        <f>IF(L174="węgiel",R174*'Założenia,wskaźniki, listy'!$C$44,IF(L174="gaz",R174*'Założenia,wskaźniki, listy'!$D$44,IF(L174="drewno",R174*'Założenia,wskaźniki, listy'!$E$44,IF(L174="pelet",R174*'Założenia,wskaźniki, listy'!$F$44,IF(L174="olej opałowy",R174*'Założenia,wskaźniki, listy'!$G$44,IF(L174="sieć ciepłownicza",0,IF(L174="prąd",0,0)))))))</f>
        <v>7.1999999999999998E-3</v>
      </c>
      <c r="U174" s="639">
        <f>IF(L174="węgiel",R174*'Założenia,wskaźniki, listy'!$C$45,IF(L174="gaz",R174*'Założenia,wskaźniki, listy'!$D$45,IF(L174="drewno",R174*'Założenia,wskaźniki, listy'!$E$45,IF(L174="pelet",R174*'Założenia,wskaźniki, listy'!$F$45,IF(L174="olej opałowy",R174*'Założenia,wskaźniki, listy'!$G$45,IF(L174="sieć ciepłownicza",0,IF(L174="prąd",0,0)))))))</f>
        <v>7.0499999999999998E-3</v>
      </c>
      <c r="V174" s="639">
        <f>IF(L174="węgiel",R174*'Założenia,wskaźniki, listy'!$C$46,IF(L174="gaz",R174*'Założenia,wskaźniki, listy'!$D$46,IF(L174="drewno",R174*'Założenia,wskaźniki, listy'!$E$46,IF(L174="pelet",R174*'Założenia,wskaźniki, listy'!$F$46,IF(L174="olej opałowy",R174*'Założenia,wskaźniki, listy'!$G$46,IF(L174="sieć ciepłownicza",R174*'Założenia,wskaźniki, listy'!$H$46,IF(L174="prąd",R174*'Założenia,wskaźniki, listy'!$I$46,0)))))))</f>
        <v>0</v>
      </c>
      <c r="W174" s="639">
        <f>IF(L174="węgiel",R174*'Założenia,wskaźniki, listy'!$C$47,IF(L174="gaz",R174*'Założenia,wskaźniki, listy'!$D$47,IF(L174="drewno",R174*'Założenia,wskaźniki, listy'!$E$47,IF(L174="pelet",R174*'Założenia,wskaźniki, listy'!$F$47,IF(L174="olej opałowy",R174*'Założenia,wskaźniki, listy'!$G$47,IF(L174="sieć ciepłownicza",0,IF(L174="prąd",0,0)))))))</f>
        <v>1.8150000000000002E-6</v>
      </c>
      <c r="X174" s="639">
        <f>IF(L174="węgiel",R174*'Założenia,wskaźniki, listy'!$C$48, IF(L174="gaz",R174*'Założenia,wskaźniki, listy'!$D$48,IF(L174="drewno",R174*'Założenia,wskaźniki, listy'!$E$48,IF(L174="pelet",R174*'Założenia,wskaźniki, listy'!$F$48,IF(L174="olej opałowy",R174*'Założenia,wskaźniki, listy'!$G$48,IF(L174="sieć ciepłownicza",0,IF(L174="prąd",0,0)))))))</f>
        <v>1.65E-4</v>
      </c>
      <c r="Y174" s="639">
        <f>IF(L174="węgiel",R174*'Założenia,wskaźniki, listy'!$C$49, IF(L174="gaz",R174*'Założenia,wskaźniki, listy'!$D$49, IF(L174="drewno",R174*'Założenia,wskaźniki, listy'!$E$49,IF(L174="pelet",R174*'Założenia,wskaźniki, listy'!$F$49,IF(L174="olej opałowy",R174*'Założenia,wskaźniki, listy'!$G$49,IF(L174="sieć ciepłownicza",0,IF(L174="prąd",0,0)))))))</f>
        <v>1.2000000000000001E-3</v>
      </c>
      <c r="Z174" s="639">
        <f>IF(L174="węgiel",R174*'Założenia,wskaźniki, listy'!$C$50,IF(L174="gaz",R174*'Założenia,wskaźniki, listy'!$D$50, IF(L174="drewno",R174*'Założenia,wskaźniki, listy'!$E$50,IF(L174="pelet",R174*'Założenia,wskaźniki, listy'!$F$50,IF(L174="pelet",R174*'Założenia,wskaźniki, listy'!$F$50,IF(L174="olej opałowy",R174*'Założenia,wskaźniki, listy'!$G$50,IF(L174="sieć ciepłownicza",0,IF(L174="prąd",0,0))))))))</f>
        <v>2.6909999999999998E-3</v>
      </c>
      <c r="AA174" s="639">
        <f>IF(N174="węgiel",Q174*'Założenia,wskaźniki, listy'!$C$44,IF(N174="gaz",Q174*'Założenia,wskaźniki, listy'!$D$44,IF(N174="drewno",Q174*'Założenia,wskaźniki, listy'!$E$44,IF(N174="pelet",Q174*'Założenia,wskaźniki, listy'!$G$44,IF(N174="olej opałowy",Q174*'Założenia,wskaźniki, listy'!$G$44,IF(N174="sieć ciepłownicza",0,IF(N174="prąd",0,0)))))))</f>
        <v>0</v>
      </c>
      <c r="AB174" s="639">
        <f>IF(N174="węgiel",Q174*'Założenia,wskaźniki, listy'!$C$45,IF(N174="gaz",Q174*'Założenia,wskaźniki, listy'!$D$45,IF(N174="drewno",Q174*'Założenia,wskaźniki, listy'!$E$45,IF(N174="pelet",Q174*'Założenia,wskaźniki, listy'!$G$45,IF(N174="olej opałowy",Q174*'Założenia,wskaźniki, listy'!$G$45,IF(N174="sieć ciepłownicza",0,IF(N174="prąd",0,0)))))))</f>
        <v>0</v>
      </c>
      <c r="AC174" s="639">
        <f>IF(N174="węgiel",Q174*'Założenia,wskaźniki, listy'!$C$46,IF(N174="gaz",Q174*'Założenia,wskaźniki, listy'!$D$46,IF(N174="drewno",Q174*'Założenia,wskaźniki, listy'!$E$46,IF(N174="pelet",Q174*'Założenia,wskaźniki, listy'!$G$46,IF(N174="olej opałowy",Q174*'Założenia,wskaźniki, listy'!$G$46,IF(N174="sieć ciepłownicza",0,IF(N174="prąd",0,0)))))))</f>
        <v>0</v>
      </c>
      <c r="AD174" s="639">
        <f>IF(N174="węgiel",Q174*'Założenia,wskaźniki, listy'!$C$47,IF(N174="gaz",Q174*'Założenia,wskaźniki, listy'!$D$47,IF(N174="drewno",Q174*'Założenia,wskaźniki, listy'!$E$47,IF(N174="pelet",Q174*'Założenia,wskaźniki, listy'!$G$47,IF(N174="olej opałowy",Q174*'Założenia,wskaźniki, listy'!$G$47,IF(N174="sieć ciepłownicza",0,IF(N174="prąd",0,0)))))))</f>
        <v>0</v>
      </c>
      <c r="AE174" s="639">
        <f>IF(N174="węgiel",Q174*'Założenia,wskaźniki, listy'!$C$48,IF(N174="gaz",Q174*'Założenia,wskaźniki, listy'!$D$48,IF(N174="drewno",Q174*'Założenia,wskaźniki, listy'!$E$48,IF(N174="pelet",Q174*'Założenia,wskaźniki, listy'!$G$48,IF(N174="olej opałowy",Q174*'Założenia,wskaźniki, listy'!$G$48,IF(N174="sieć ciepłownicza",0,IF(N174="prąd",0,0)))))))</f>
        <v>0</v>
      </c>
      <c r="AF174" s="639">
        <f>IF(N174="węgiel",Q174*'Założenia,wskaźniki, listy'!$C$49,IF(N174="gaz",Q174*'Założenia,wskaźniki, listy'!$D$49,IF(N174="drewno",Q174*'Założenia,wskaźniki, listy'!$E$49,IF(N174="pelet",Q174*'Założenia,wskaźniki, listy'!$G$49,IF(N174="olej opałowy",Q174*'Założenia,wskaźniki, listy'!$G$49,IF(N174="sieć ciepłownicza",0,IF(N174="prąd",0,0)))))))</f>
        <v>0</v>
      </c>
      <c r="AG174" s="639">
        <f>IF(N174="węgiel",Q174*'Założenia,wskaźniki, listy'!$C$50,IF(N174="gaz",Q174*'Założenia,wskaźniki, listy'!$D$50,IF(N174="drewno",Q174*'Założenia,wskaźniki, listy'!$E$50,IF(N174="pelet",Q174*'Założenia,wskaźniki, listy'!$G$50,IF(N174="olej opałowy",Q174*'Założenia,wskaźniki, listy'!$G$50,IF(N174="sieć ciepłownicza",0,IF(N174="prąd",0,0)))))))</f>
        <v>0</v>
      </c>
      <c r="AH174" s="640">
        <f>IF(L174="węgiel",(P174+R174)/2*'Założenia,wskaźniki, listy'!$C$4,IF(L174="gaz",(P174+R174)/2*'Założenia,wskaźniki, listy'!$C$5,IF(L174="drewno",(P174+R174)/2*'Założenia,wskaźniki, listy'!$C$6,IF(L174="pelet",(P174+R174)/2*'Założenia,wskaźniki, listy'!$C$7,IF(L174="olej opałowy",(P174+R174)/2*'Założenia,wskaźniki, listy'!$C$8,IF(L174="sieć ciepłownicza",(P174+R174)/2*'Założenia,wskaźniki, listy'!$C$9,IF(L174="sieć ciepłownicza",(P174+R174)/2*'Założenia,wskaźniki, listy'!$C$10,)))))))</f>
        <v>285</v>
      </c>
      <c r="AI174" s="640">
        <f>IF(N174="węgiel",Q174*'Założenia,wskaźniki, listy'!$C$4,IF(N174="gaz",Q174*'Założenia,wskaźniki, listy'!$C$5,IF(N174="drewno",Q174*'Założenia,wskaźniki, listy'!$C$6,IF(N174="pelet",Q174*'Założenia,wskaźniki, listy'!$C$7,IF(N174="olej opałowy",Q174*'Założenia,wskaźniki, listy'!$C$8,IF(N174="sieć ciepłownicza",Q174*'Założenia,wskaźniki, listy'!$C$9,IF(N174="sieć ciepłownicza",Q174*'Założenia,wskaźniki, listy'!$C$10,0)))))))</f>
        <v>0</v>
      </c>
      <c r="AJ174" s="640">
        <f>S174*'Założenia,wskaźniki, listy'!$B$64*1000</f>
        <v>0</v>
      </c>
      <c r="AK174" s="640">
        <f>(H174+I174)*'Założenia,wskaźniki, listy'!$D$64*12</f>
        <v>0</v>
      </c>
      <c r="AL174" s="640">
        <f>AK174*'Założenia,wskaźniki, listy'!$F$64</f>
        <v>0</v>
      </c>
      <c r="AM174" s="639">
        <f t="shared" ref="AM174" si="320">T174+AA174</f>
        <v>7.1999999999999998E-3</v>
      </c>
      <c r="AN174" s="639">
        <f t="shared" ref="AN174" si="321">U174+AB174</f>
        <v>7.0499999999999998E-3</v>
      </c>
      <c r="AO174" s="639">
        <f>V174+AC174+S174*'Założenia,wskaźniki, listy'!$J$46</f>
        <v>0</v>
      </c>
      <c r="AP174" s="639">
        <f t="shared" ref="AP174" si="322">W174+AD174</f>
        <v>1.8150000000000002E-6</v>
      </c>
      <c r="AQ174" s="639">
        <f t="shared" ref="AQ174" si="323">X174+AE174</f>
        <v>1.65E-4</v>
      </c>
      <c r="AR174" s="639">
        <f t="shared" ref="AR174" si="324">Y174+AF174</f>
        <v>1.2000000000000001E-3</v>
      </c>
      <c r="AS174" s="639">
        <f t="shared" ref="AS174" si="325">Z174+AG174</f>
        <v>2.6909999999999998E-3</v>
      </c>
      <c r="AT174" s="647"/>
      <c r="AU174" s="647"/>
      <c r="AV174" s="624">
        <f t="shared" si="241"/>
        <v>0</v>
      </c>
      <c r="AW174" s="624" t="b">
        <f t="shared" si="242"/>
        <v>0</v>
      </c>
      <c r="AX174" s="624" t="b">
        <f t="shared" si="243"/>
        <v>0</v>
      </c>
      <c r="AY174" s="624" t="b">
        <f t="shared" si="244"/>
        <v>0</v>
      </c>
      <c r="AZ174" s="624" t="b">
        <f t="shared" si="245"/>
        <v>0</v>
      </c>
      <c r="BA174" s="624" t="b">
        <f t="shared" si="246"/>
        <v>0</v>
      </c>
      <c r="BB174" s="624" t="b">
        <f t="shared" si="247"/>
        <v>0</v>
      </c>
      <c r="BC174" s="624" t="b">
        <f t="shared" si="248"/>
        <v>0</v>
      </c>
      <c r="BD174" s="624" t="b">
        <f t="shared" si="249"/>
        <v>0</v>
      </c>
      <c r="BE174" s="624" t="b">
        <f t="shared" si="250"/>
        <v>0</v>
      </c>
      <c r="BF174" s="624" t="b">
        <f t="shared" si="251"/>
        <v>0</v>
      </c>
      <c r="BG174" s="624" t="b">
        <f t="shared" si="252"/>
        <v>0</v>
      </c>
      <c r="BH174" s="624">
        <f t="shared" si="253"/>
        <v>15</v>
      </c>
      <c r="BI174" s="624" t="b">
        <f t="shared" si="254"/>
        <v>0</v>
      </c>
      <c r="BJ174" s="624" t="b">
        <f t="shared" si="255"/>
        <v>0</v>
      </c>
      <c r="BK174" s="624" t="b">
        <f t="shared" si="256"/>
        <v>0</v>
      </c>
      <c r="BL174" s="624" t="b">
        <f t="shared" si="257"/>
        <v>0</v>
      </c>
      <c r="BM174" s="624" t="b">
        <f t="shared" si="258"/>
        <v>0</v>
      </c>
      <c r="BN174" s="624" t="b">
        <f t="shared" si="259"/>
        <v>0</v>
      </c>
      <c r="BO174" s="624" t="b">
        <f t="shared" si="260"/>
        <v>0</v>
      </c>
      <c r="BP174" s="624" t="b">
        <f t="shared" si="261"/>
        <v>0</v>
      </c>
      <c r="BQ174" s="624" t="b">
        <f t="shared" si="262"/>
        <v>0</v>
      </c>
    </row>
    <row r="175" spans="1:69" ht="8.25" customHeight="1">
      <c r="A175" s="1086">
        <v>86</v>
      </c>
      <c r="B175" s="872" t="s">
        <v>21</v>
      </c>
      <c r="C175" s="873" t="s">
        <v>634</v>
      </c>
      <c r="D175" s="645"/>
      <c r="E175" s="645">
        <v>42</v>
      </c>
      <c r="F175" s="644">
        <v>2002</v>
      </c>
      <c r="G175" s="644">
        <v>150</v>
      </c>
      <c r="H175" s="644"/>
      <c r="I175" s="635"/>
      <c r="J175" s="644">
        <f>IF(F175&lt;=1966,'Założenia,wskaźniki, listy'!$H$4,IF(F175&gt;1966,IF(F175&lt;=1985,'Założenia,wskaźniki, listy'!$H$5,IF(F175&gt;1985,IF(F175&lt;=1992,'Założenia,wskaźniki, listy'!$H$6,IF(F175&gt;1992,IF(F175&lt;=1996,'Założenia,wskaźniki, listy'!$H$7,IF(F175&gt;1996,IF(F175&lt;=2015,'Założenia,wskaźniki, listy'!$H$8)))))))))</f>
        <v>115</v>
      </c>
      <c r="K175" s="864" t="s">
        <v>31</v>
      </c>
      <c r="L175" s="644" t="s">
        <v>8</v>
      </c>
      <c r="M175" s="644">
        <v>1</v>
      </c>
      <c r="N175" s="644"/>
      <c r="O175" s="637">
        <f t="shared" si="240"/>
        <v>42.355000000000004</v>
      </c>
      <c r="P175" s="646">
        <f>IF(K175="kompletna",J175*G175*0.0036*'Założenia,wskaźniki, listy'!$P$9,IF(K175="częściowa",J175*G175*0.0036*'Założenia,wskaźniki, listy'!$P$10,IF(K175="brak",J175*G175*0.0036*'Założenia,wskaźniki, listy'!$P$11,0)))</f>
        <v>62.1</v>
      </c>
      <c r="Q175" s="638">
        <f>H175*'Założenia,wskaźniki, listy'!$L$15</f>
        <v>0</v>
      </c>
      <c r="R175" s="635">
        <f>IF(L175="węgiel",'Mieszkalne - baza'!M175*'Założenia,wskaźniki, listy'!$B$4,IF(L175="gaz",'Mieszkalne - baza'!M175*'Założenia,wskaźniki, listy'!$B$5,IF(L175="drewno",'Mieszkalne - baza'!M175*'Założenia,wskaźniki, listy'!$B$6,IF(L175="pelet",'Mieszkalne - baza'!M175*'Założenia,wskaźniki, listy'!$B$7,IF(L175="olej opałowy",'Mieszkalne - baza'!M175*'Założenia,wskaźniki, listy'!$B$8,IF(L175="sieć ciepłownicza",0,0))))))</f>
        <v>22.61</v>
      </c>
      <c r="S175" s="1084">
        <v>2.2560000000000002</v>
      </c>
      <c r="T175" s="639">
        <f>IF(L175="węgiel",R175*'Założenia,wskaźniki, listy'!$C$44,IF(L175="gaz",R175*'Założenia,wskaźniki, listy'!$D$44,IF(L175="drewno",R175*'Założenia,wskaźniki, listy'!$E$44,IF(L175="pelet",R175*'Założenia,wskaźniki, listy'!$F$44,IF(L175="olej opałowy",R175*'Założenia,wskaźniki, listy'!$G$44,IF(L175="sieć ciepłownicza",0,IF(L175="prąd",0,0)))))))</f>
        <v>5.0872499999999998E-3</v>
      </c>
      <c r="U175" s="639">
        <f>IF(L175="węgiel",R175*'Założenia,wskaźniki, listy'!$C$45,IF(L175="gaz",R175*'Założenia,wskaźniki, listy'!$D$45,IF(L175="drewno",R175*'Założenia,wskaźniki, listy'!$E$45,IF(L175="pelet",R175*'Założenia,wskaźniki, listy'!$F$45,IF(L175="olej opałowy",R175*'Założenia,wskaźniki, listy'!$G$45,IF(L175="sieć ciepłownicza",0,IF(L175="prąd",0,0)))))))</f>
        <v>4.5446100000000001E-3</v>
      </c>
      <c r="V175" s="639">
        <f>IF(L175="węgiel",R175*'Założenia,wskaźniki, listy'!$C$46,IF(L175="gaz",R175*'Założenia,wskaźniki, listy'!$D$46,IF(L175="drewno",R175*'Założenia,wskaźniki, listy'!$E$46,IF(L175="pelet",R175*'Założenia,wskaźniki, listy'!$F$46,IF(L175="olej opałowy",R175*'Założenia,wskaźniki, listy'!$G$46,IF(L175="sieć ciepłownicza",R175*'Założenia,wskaźniki, listy'!$H$46,IF(L175="prąd",R175*'Założenia,wskaźniki, listy'!$I$46,0)))))))</f>
        <v>2.1194613999999996</v>
      </c>
      <c r="W175" s="639">
        <f>IF(L175="węgiel",R175*'Założenia,wskaźniki, listy'!$C$47,IF(L175="gaz",R175*'Założenia,wskaźniki, listy'!$D$47,IF(L175="drewno",R175*'Założenia,wskaźniki, listy'!$E$47,IF(L175="pelet",R175*'Założenia,wskaźniki, listy'!$F$47,IF(L175="olej opałowy",R175*'Założenia,wskaźniki, listy'!$G$47,IF(L175="sieć ciepłownicza",0,IF(L175="prąd",0,0)))))))</f>
        <v>6.1047000000000002E-6</v>
      </c>
      <c r="X175" s="639">
        <f>IF(L175="węgiel",R175*'Założenia,wskaźniki, listy'!$C$48, IF(L175="gaz",R175*'Założenia,wskaźniki, listy'!$D$48,IF(L175="drewno",R175*'Założenia,wskaźniki, listy'!$E$48,IF(L175="pelet",R175*'Założenia,wskaźniki, listy'!$F$48,IF(L175="olej opałowy",R175*'Założenia,wskaźniki, listy'!$G$48,IF(L175="sieć ciepłownicza",0,IF(L175="prąd",0,0)))))))</f>
        <v>2.0348999999999999E-2</v>
      </c>
      <c r="Y175" s="639">
        <f>IF(L175="węgiel",R175*'Założenia,wskaźniki, listy'!$C$49, IF(L175="gaz",R175*'Założenia,wskaźniki, listy'!$D$49, IF(L175="drewno",R175*'Założenia,wskaźniki, listy'!$E$49,IF(L175="pelet",R175*'Założenia,wskaźniki, listy'!$F$49,IF(L175="olej opałowy",R175*'Założenia,wskaźniki, listy'!$G$49,IF(L175="sieć ciepłownicza",0,IF(L175="prąd",0,0)))))))</f>
        <v>3.5723799999999996E-3</v>
      </c>
      <c r="Z175" s="639">
        <f>IF(L175="węgiel",R175*'Założenia,wskaźniki, listy'!$C$50,IF(L175="gaz",R175*'Założenia,wskaźniki, listy'!$D$50, IF(L175="drewno",R175*'Założenia,wskaźniki, listy'!$E$50,IF(L175="pelet",R175*'Założenia,wskaźniki, listy'!$F$50,IF(L175="pelet",R175*'Założenia,wskaźniki, listy'!$F$50,IF(L175="olej opałowy",R175*'Założenia,wskaźniki, listy'!$G$50,IF(L175="sieć ciepłownicza",0,IF(L175="prąd",0,0))))))))</f>
        <v>4.5482789450156456E-2</v>
      </c>
      <c r="AA175" s="639">
        <f>IF(N175="węgiel",Q175*'Założenia,wskaźniki, listy'!$C$44,IF(N175="gaz",Q175*'Założenia,wskaźniki, listy'!$D$44,IF(N175="drewno",Q175*'Założenia,wskaźniki, listy'!$E$44,IF(N175="pelet",Q175*'Założenia,wskaźniki, listy'!$G$44,IF(N175="olej opałowy",Q175*'Założenia,wskaźniki, listy'!$G$44,IF(N175="sieć ciepłownicza",0,IF(N175="prąd",0,0)))))))</f>
        <v>0</v>
      </c>
      <c r="AB175" s="639">
        <f>IF(N175="węgiel",Q175*'Założenia,wskaźniki, listy'!$C$45,IF(N175="gaz",Q175*'Założenia,wskaźniki, listy'!$D$45,IF(N175="drewno",Q175*'Założenia,wskaźniki, listy'!$E$45,IF(N175="pelet",Q175*'Założenia,wskaźniki, listy'!$G$45,IF(N175="olej opałowy",Q175*'Założenia,wskaźniki, listy'!$G$45,IF(N175="sieć ciepłownicza",0,IF(N175="prąd",0,0)))))))</f>
        <v>0</v>
      </c>
      <c r="AC175" s="639">
        <f>IF(N175="węgiel",Q175*'Założenia,wskaźniki, listy'!$C$46,IF(N175="gaz",Q175*'Założenia,wskaźniki, listy'!$D$46,IF(N175="drewno",Q175*'Założenia,wskaźniki, listy'!$E$46,IF(N175="pelet",Q175*'Założenia,wskaźniki, listy'!$G$46,IF(N175="olej opałowy",Q175*'Założenia,wskaźniki, listy'!$G$46,IF(N175="sieć ciepłownicza",0,IF(N175="prąd",0,0)))))))</f>
        <v>0</v>
      </c>
      <c r="AD175" s="639">
        <f>IF(N175="węgiel",Q175*'Założenia,wskaźniki, listy'!$C$47,IF(N175="gaz",Q175*'Założenia,wskaźniki, listy'!$D$47,IF(N175="drewno",Q175*'Założenia,wskaźniki, listy'!$E$47,IF(N175="pelet",Q175*'Założenia,wskaźniki, listy'!$G$47,IF(N175="olej opałowy",Q175*'Założenia,wskaźniki, listy'!$G$47,IF(N175="sieć ciepłownicza",0,IF(N175="prąd",0,0)))))))</f>
        <v>0</v>
      </c>
      <c r="AE175" s="639">
        <f>IF(N175="węgiel",Q175*'Założenia,wskaźniki, listy'!$C$48,IF(N175="gaz",Q175*'Założenia,wskaźniki, listy'!$D$48,IF(N175="drewno",Q175*'Założenia,wskaźniki, listy'!$E$48,IF(N175="pelet",Q175*'Założenia,wskaźniki, listy'!$G$48,IF(N175="olej opałowy",Q175*'Założenia,wskaźniki, listy'!$G$48,IF(N175="sieć ciepłownicza",0,IF(N175="prąd",0,0)))))))</f>
        <v>0</v>
      </c>
      <c r="AF175" s="639">
        <f>IF(N175="węgiel",Q175*'Założenia,wskaźniki, listy'!$C$49,IF(N175="gaz",Q175*'Założenia,wskaźniki, listy'!$D$49,IF(N175="drewno",Q175*'Założenia,wskaźniki, listy'!$E$49,IF(N175="pelet",Q175*'Założenia,wskaźniki, listy'!$G$49,IF(N175="olej opałowy",Q175*'Założenia,wskaźniki, listy'!$G$49,IF(N175="sieć ciepłownicza",0,IF(N175="prąd",0,0)))))))</f>
        <v>0</v>
      </c>
      <c r="AG175" s="639">
        <f>IF(N175="węgiel",Q175*'Założenia,wskaźniki, listy'!$C$50,IF(N175="gaz",Q175*'Założenia,wskaźniki, listy'!$D$50,IF(N175="drewno",Q175*'Założenia,wskaźniki, listy'!$E$50,IF(N175="pelet",Q175*'Założenia,wskaźniki, listy'!$G$50,IF(N175="olej opałowy",Q175*'Założenia,wskaźniki, listy'!$G$50,IF(N175="sieć ciepłownicza",0,IF(N175="prąd",0,0)))))))</f>
        <v>0</v>
      </c>
      <c r="AH175" s="640">
        <f>IF(L175="węgiel",(P175+R175)/2*'Założenia,wskaźniki, listy'!$C$4,IF(L175="gaz",(P175+R175)/2*'Założenia,wskaźniki, listy'!$C$5,IF(L175="drewno",(P175+R175)/2*'Założenia,wskaźniki, listy'!$C$6,IF(L175="pelet",(P175+R175)/2*'Założenia,wskaźniki, listy'!$C$7,IF(L175="olej opałowy",(P175+R175)/2*'Założenia,wskaźniki, listy'!$C$8,IF(L175="sieć ciepłownicza",(P175+R175)/2*'Założenia,wskaźniki, listy'!$C$9,IF(L175="sieć ciepłownicza",(P175+R175)/2*'Założenia,wskaźniki, listy'!$C$10,)))))))</f>
        <v>1736.5550000000001</v>
      </c>
      <c r="AI175" s="640">
        <f>IF(N175="węgiel",Q175*'Założenia,wskaźniki, listy'!$C$4,IF(N175="gaz",Q175*'Założenia,wskaźniki, listy'!$C$5,IF(N175="drewno",Q175*'Założenia,wskaźniki, listy'!$C$6,IF(N175="pelet",Q175*'Założenia,wskaźniki, listy'!$C$7,IF(N175="olej opałowy",Q175*'Założenia,wskaźniki, listy'!$C$8,IF(N175="sieć ciepłownicza",Q175*'Założenia,wskaźniki, listy'!$C$9,IF(N175="sieć ciepłownicza",Q175*'Założenia,wskaźniki, listy'!$C$10,0)))))))</f>
        <v>0</v>
      </c>
      <c r="AJ175" s="640">
        <f>S175*'Założenia,wskaźniki, listy'!$B$64*1000</f>
        <v>1601.76</v>
      </c>
      <c r="AK175" s="640">
        <f>(H175+I175)*'Założenia,wskaźniki, listy'!$D$64*12</f>
        <v>0</v>
      </c>
      <c r="AL175" s="640">
        <f>AK175*'Założenia,wskaźniki, listy'!$F$64</f>
        <v>0</v>
      </c>
      <c r="AM175" s="639">
        <f t="shared" si="206"/>
        <v>5.0872499999999998E-3</v>
      </c>
      <c r="AN175" s="639">
        <f t="shared" si="207"/>
        <v>4.5446100000000001E-3</v>
      </c>
      <c r="AO175" s="639">
        <f>V175+AC175+S175*'Założenia,wskaźniki, listy'!$J$46</f>
        <v>3.9953253999999996</v>
      </c>
      <c r="AP175" s="639">
        <f t="shared" si="208"/>
        <v>6.1047000000000002E-6</v>
      </c>
      <c r="AQ175" s="639">
        <f t="shared" si="209"/>
        <v>2.0348999999999999E-2</v>
      </c>
      <c r="AR175" s="639">
        <f t="shared" si="210"/>
        <v>3.5723799999999996E-3</v>
      </c>
      <c r="AS175" s="639">
        <f t="shared" si="211"/>
        <v>4.5482789450156456E-2</v>
      </c>
      <c r="AT175" s="647"/>
      <c r="AU175" s="647"/>
      <c r="AV175" s="624" t="b">
        <f t="shared" si="241"/>
        <v>0</v>
      </c>
      <c r="AW175" s="624" t="b">
        <f t="shared" si="242"/>
        <v>0</v>
      </c>
      <c r="AX175" s="624" t="b">
        <f t="shared" si="243"/>
        <v>0</v>
      </c>
      <c r="AY175" s="624" t="b">
        <f t="shared" si="244"/>
        <v>0</v>
      </c>
      <c r="AZ175" s="624" t="b">
        <f t="shared" si="245"/>
        <v>0</v>
      </c>
      <c r="BA175" s="624" t="b">
        <f t="shared" si="246"/>
        <v>0</v>
      </c>
      <c r="BB175" s="624" t="b">
        <f t="shared" si="247"/>
        <v>0</v>
      </c>
      <c r="BC175" s="624" t="b">
        <f t="shared" si="248"/>
        <v>0</v>
      </c>
      <c r="BD175" s="624">
        <f t="shared" si="249"/>
        <v>150</v>
      </c>
      <c r="BE175" s="624" t="b">
        <f t="shared" si="250"/>
        <v>0</v>
      </c>
      <c r="BF175" s="624">
        <f t="shared" si="251"/>
        <v>22.61</v>
      </c>
      <c r="BG175" s="624" t="b">
        <f t="shared" si="252"/>
        <v>0</v>
      </c>
      <c r="BH175" s="624" t="b">
        <f t="shared" si="253"/>
        <v>0</v>
      </c>
      <c r="BI175" s="624" t="b">
        <f t="shared" si="254"/>
        <v>0</v>
      </c>
      <c r="BJ175" s="624" t="b">
        <f t="shared" si="255"/>
        <v>0</v>
      </c>
      <c r="BK175" s="624" t="b">
        <f t="shared" si="256"/>
        <v>0</v>
      </c>
      <c r="BL175" s="624" t="b">
        <f t="shared" si="257"/>
        <v>0</v>
      </c>
      <c r="BM175" s="624" t="b">
        <f t="shared" si="258"/>
        <v>0</v>
      </c>
      <c r="BN175" s="624" t="b">
        <f t="shared" si="259"/>
        <v>0</v>
      </c>
      <c r="BO175" s="624" t="b">
        <f t="shared" si="260"/>
        <v>0</v>
      </c>
      <c r="BP175" s="624" t="b">
        <f t="shared" si="261"/>
        <v>0</v>
      </c>
      <c r="BQ175" s="624" t="b">
        <f t="shared" si="262"/>
        <v>0</v>
      </c>
    </row>
    <row r="176" spans="1:69" ht="8.25" customHeight="1">
      <c r="A176" s="1086"/>
      <c r="B176" s="872"/>
      <c r="C176" s="874"/>
      <c r="D176" s="645"/>
      <c r="E176" s="645"/>
      <c r="F176" s="644"/>
      <c r="G176" s="644"/>
      <c r="H176" s="644"/>
      <c r="I176" s="635"/>
      <c r="J176" s="644">
        <f>IF(F176&lt;=1966,'Założenia,wskaźniki, listy'!$H$4,IF(F176&gt;1966,IF(F176&lt;=1985,'Założenia,wskaźniki, listy'!$H$5,IF(F176&gt;1985,IF(F176&lt;=1992,'Założenia,wskaźniki, listy'!$H$6,IF(F176&gt;1992,IF(F176&lt;=1996,'Założenia,wskaźniki, listy'!$H$7,IF(F176&gt;1996,IF(F176&lt;=2015,'Założenia,wskaźniki, listy'!$H$8)))))))))</f>
        <v>290</v>
      </c>
      <c r="K176" s="872"/>
      <c r="L176" s="644" t="s">
        <v>79</v>
      </c>
      <c r="M176" s="644">
        <v>2</v>
      </c>
      <c r="N176" s="644"/>
      <c r="O176" s="637">
        <f t="shared" ref="O176" si="326">IF(P176&gt;0,(Q176+R176+P176)/2,Q176+R176)</f>
        <v>30</v>
      </c>
      <c r="P176" s="646">
        <f>IF(K176="kompletna",J176*G176*0.0036*'Założenia,wskaźniki, listy'!$P$9,IF(K176="częściowa",J176*G176*0.0036*'Założenia,wskaźniki, listy'!$P$10,IF(K176="brak",J176*G176*0.0036*'Założenia,wskaźniki, listy'!$P$11,0)))</f>
        <v>0</v>
      </c>
      <c r="Q176" s="638">
        <f>H176*'Założenia,wskaźniki, listy'!$L$15</f>
        <v>0</v>
      </c>
      <c r="R176" s="635">
        <f>IF(L176="węgiel",'Mieszkalne - baza'!M176*'Założenia,wskaźniki, listy'!$B$4,IF(L176="gaz",'Mieszkalne - baza'!M176*'Założenia,wskaźniki, listy'!$B$5,IF(L176="drewno",'Mieszkalne - baza'!M176*'Założenia,wskaźniki, listy'!$B$6,IF(L176="pelet",'Mieszkalne - baza'!M176*'Założenia,wskaźniki, listy'!$B$7,IF(L176="olej opałowy",'Mieszkalne - baza'!M176*'Założenia,wskaźniki, listy'!$B$8,IF(L176="sieć ciepłownicza",0,0))))))</f>
        <v>30</v>
      </c>
      <c r="S176" s="1085"/>
      <c r="T176" s="639">
        <f>IF(L176="węgiel",R176*'Założenia,wskaźniki, listy'!$C$44,IF(L176="gaz",R176*'Założenia,wskaźniki, listy'!$D$44,IF(L176="drewno",R176*'Założenia,wskaźniki, listy'!$E$44,IF(L176="pelet",R176*'Założenia,wskaźniki, listy'!$F$44,IF(L176="olej opałowy",R176*'Założenia,wskaźniki, listy'!$G$44,IF(L176="sieć ciepłownicza",0,IF(L176="prąd",0,0)))))))</f>
        <v>1.44E-2</v>
      </c>
      <c r="U176" s="639">
        <f>IF(L176="węgiel",R176*'Założenia,wskaźniki, listy'!$C$45,IF(L176="gaz",R176*'Założenia,wskaźniki, listy'!$D$45,IF(L176="drewno",R176*'Założenia,wskaźniki, listy'!$E$45,IF(L176="pelet",R176*'Założenia,wskaźniki, listy'!$F$45,IF(L176="olej opałowy",R176*'Założenia,wskaźniki, listy'!$G$45,IF(L176="sieć ciepłownicza",0,IF(L176="prąd",0,0)))))))</f>
        <v>1.41E-2</v>
      </c>
      <c r="V176" s="639">
        <f>IF(L176="węgiel",R176*'Założenia,wskaźniki, listy'!$C$46,IF(L176="gaz",R176*'Założenia,wskaźniki, listy'!$D$46,IF(L176="drewno",R176*'Założenia,wskaźniki, listy'!$E$46,IF(L176="pelet",R176*'Założenia,wskaźniki, listy'!$F$46,IF(L176="olej opałowy",R176*'Założenia,wskaźniki, listy'!$G$46,IF(L176="sieć ciepłownicza",R176*'Założenia,wskaźniki, listy'!$H$46,IF(L176="prąd",R176*'Założenia,wskaźniki, listy'!$I$46,0)))))))</f>
        <v>0</v>
      </c>
      <c r="W176" s="639">
        <f>IF(L176="węgiel",R176*'Założenia,wskaźniki, listy'!$C$47,IF(L176="gaz",R176*'Założenia,wskaźniki, listy'!$D$47,IF(L176="drewno",R176*'Założenia,wskaźniki, listy'!$E$47,IF(L176="pelet",R176*'Założenia,wskaźniki, listy'!$F$47,IF(L176="olej opałowy",R176*'Założenia,wskaźniki, listy'!$G$47,IF(L176="sieć ciepłownicza",0,IF(L176="prąd",0,0)))))))</f>
        <v>3.6300000000000004E-6</v>
      </c>
      <c r="X176" s="639">
        <f>IF(L176="węgiel",R176*'Założenia,wskaźniki, listy'!$C$48, IF(L176="gaz",R176*'Założenia,wskaźniki, listy'!$D$48,IF(L176="drewno",R176*'Założenia,wskaźniki, listy'!$E$48,IF(L176="pelet",R176*'Założenia,wskaźniki, listy'!$F$48,IF(L176="olej opałowy",R176*'Założenia,wskaźniki, listy'!$G$48,IF(L176="sieć ciepłownicza",0,IF(L176="prąd",0,0)))))))</f>
        <v>3.3E-4</v>
      </c>
      <c r="Y176" s="639">
        <f>IF(L176="węgiel",R176*'Założenia,wskaźniki, listy'!$C$49, IF(L176="gaz",R176*'Założenia,wskaźniki, listy'!$D$49, IF(L176="drewno",R176*'Założenia,wskaźniki, listy'!$E$49,IF(L176="pelet",R176*'Założenia,wskaźniki, listy'!$F$49,IF(L176="olej opałowy",R176*'Założenia,wskaźniki, listy'!$G$49,IF(L176="sieć ciepłownicza",0,IF(L176="prąd",0,0)))))))</f>
        <v>2.4000000000000002E-3</v>
      </c>
      <c r="Z176" s="639">
        <f>IF(L176="węgiel",R176*'Założenia,wskaźniki, listy'!$C$50,IF(L176="gaz",R176*'Założenia,wskaźniki, listy'!$D$50, IF(L176="drewno",R176*'Założenia,wskaźniki, listy'!$E$50,IF(L176="pelet",R176*'Założenia,wskaźniki, listy'!$F$50,IF(L176="pelet",R176*'Założenia,wskaźniki, listy'!$F$50,IF(L176="olej opałowy",R176*'Założenia,wskaźniki, listy'!$G$50,IF(L176="sieć ciepłownicza",0,IF(L176="prąd",0,0))))))))</f>
        <v>5.3819999999999996E-3</v>
      </c>
      <c r="AA176" s="639">
        <f>IF(N176="węgiel",Q176*'Założenia,wskaźniki, listy'!$C$44,IF(N176="gaz",Q176*'Założenia,wskaźniki, listy'!$D$44,IF(N176="drewno",Q176*'Założenia,wskaźniki, listy'!$E$44,IF(N176="pelet",Q176*'Założenia,wskaźniki, listy'!$G$44,IF(N176="olej opałowy",Q176*'Założenia,wskaźniki, listy'!$G$44,IF(N176="sieć ciepłownicza",0,IF(N176="prąd",0,0)))))))</f>
        <v>0</v>
      </c>
      <c r="AB176" s="639">
        <f>IF(N176="węgiel",Q176*'Założenia,wskaźniki, listy'!$C$45,IF(N176="gaz",Q176*'Założenia,wskaźniki, listy'!$D$45,IF(N176="drewno",Q176*'Założenia,wskaźniki, listy'!$E$45,IF(N176="pelet",Q176*'Założenia,wskaźniki, listy'!$G$45,IF(N176="olej opałowy",Q176*'Założenia,wskaźniki, listy'!$G$45,IF(N176="sieć ciepłownicza",0,IF(N176="prąd",0,0)))))))</f>
        <v>0</v>
      </c>
      <c r="AC176" s="639">
        <f>IF(N176="węgiel",Q176*'Założenia,wskaźniki, listy'!$C$46,IF(N176="gaz",Q176*'Założenia,wskaźniki, listy'!$D$46,IF(N176="drewno",Q176*'Założenia,wskaźniki, listy'!$E$46,IF(N176="pelet",Q176*'Założenia,wskaźniki, listy'!$G$46,IF(N176="olej opałowy",Q176*'Założenia,wskaźniki, listy'!$G$46,IF(N176="sieć ciepłownicza",0,IF(N176="prąd",0,0)))))))</f>
        <v>0</v>
      </c>
      <c r="AD176" s="639">
        <f>IF(N176="węgiel",Q176*'Założenia,wskaźniki, listy'!$C$47,IF(N176="gaz",Q176*'Założenia,wskaźniki, listy'!$D$47,IF(N176="drewno",Q176*'Założenia,wskaźniki, listy'!$E$47,IF(N176="pelet",Q176*'Założenia,wskaźniki, listy'!$G$47,IF(N176="olej opałowy",Q176*'Założenia,wskaźniki, listy'!$G$47,IF(N176="sieć ciepłownicza",0,IF(N176="prąd",0,0)))))))</f>
        <v>0</v>
      </c>
      <c r="AE176" s="639">
        <f>IF(N176="węgiel",Q176*'Założenia,wskaźniki, listy'!$C$48,IF(N176="gaz",Q176*'Założenia,wskaźniki, listy'!$D$48,IF(N176="drewno",Q176*'Założenia,wskaźniki, listy'!$E$48,IF(N176="pelet",Q176*'Założenia,wskaźniki, listy'!$G$48,IF(N176="olej opałowy",Q176*'Założenia,wskaźniki, listy'!$G$48,IF(N176="sieć ciepłownicza",0,IF(N176="prąd",0,0)))))))</f>
        <v>0</v>
      </c>
      <c r="AF176" s="639">
        <f>IF(N176="węgiel",Q176*'Założenia,wskaźniki, listy'!$C$49,IF(N176="gaz",Q176*'Założenia,wskaźniki, listy'!$D$49,IF(N176="drewno",Q176*'Założenia,wskaźniki, listy'!$E$49,IF(N176="pelet",Q176*'Założenia,wskaźniki, listy'!$G$49,IF(N176="olej opałowy",Q176*'Założenia,wskaźniki, listy'!$G$49,IF(N176="sieć ciepłownicza",0,IF(N176="prąd",0,0)))))))</f>
        <v>0</v>
      </c>
      <c r="AG176" s="639">
        <f>IF(N176="węgiel",Q176*'Założenia,wskaźniki, listy'!$C$50,IF(N176="gaz",Q176*'Założenia,wskaźniki, listy'!$D$50,IF(N176="drewno",Q176*'Założenia,wskaźniki, listy'!$E$50,IF(N176="pelet",Q176*'Założenia,wskaźniki, listy'!$G$50,IF(N176="olej opałowy",Q176*'Założenia,wskaźniki, listy'!$G$50,IF(N176="sieć ciepłownicza",0,IF(N176="prąd",0,0)))))))</f>
        <v>0</v>
      </c>
      <c r="AH176" s="640">
        <f>IF(L176="węgiel",(P176+R176)/2*'Założenia,wskaźniki, listy'!$C$4,IF(L176="gaz",(P176+R176)/2*'Założenia,wskaźniki, listy'!$C$5,IF(L176="drewno",(P176+R176)/2*'Założenia,wskaźniki, listy'!$C$6,IF(L176="pelet",(P176+R176)/2*'Założenia,wskaźniki, listy'!$C$7,IF(L176="olej opałowy",(P176+R176)/2*'Założenia,wskaźniki, listy'!$C$8,IF(L176="sieć ciepłownicza",(P176+R176)/2*'Założenia,wskaźniki, listy'!$C$9,IF(L176="sieć ciepłownicza",(P176+R176)/2*'Założenia,wskaźniki, listy'!$C$10,)))))))</f>
        <v>570</v>
      </c>
      <c r="AI176" s="640">
        <f>IF(N176="węgiel",Q176*'Założenia,wskaźniki, listy'!$C$4,IF(N176="gaz",Q176*'Założenia,wskaźniki, listy'!$C$5,IF(N176="drewno",Q176*'Założenia,wskaźniki, listy'!$C$6,IF(N176="pelet",Q176*'Założenia,wskaźniki, listy'!$C$7,IF(N176="olej opałowy",Q176*'Założenia,wskaźniki, listy'!$C$8,IF(N176="sieć ciepłownicza",Q176*'Założenia,wskaźniki, listy'!$C$9,IF(N176="sieć ciepłownicza",Q176*'Założenia,wskaźniki, listy'!$C$10,0)))))))</f>
        <v>0</v>
      </c>
      <c r="AJ176" s="640">
        <f>S176*'Założenia,wskaźniki, listy'!$B$64*1000</f>
        <v>0</v>
      </c>
      <c r="AK176" s="640">
        <f>(H176+I176)*'Założenia,wskaźniki, listy'!$D$64*12</f>
        <v>0</v>
      </c>
      <c r="AL176" s="640">
        <f>AK176*'Założenia,wskaźniki, listy'!$F$64</f>
        <v>0</v>
      </c>
      <c r="AM176" s="639">
        <f t="shared" ref="AM176" si="327">T176+AA176</f>
        <v>1.44E-2</v>
      </c>
      <c r="AN176" s="639">
        <f t="shared" ref="AN176" si="328">U176+AB176</f>
        <v>1.41E-2</v>
      </c>
      <c r="AO176" s="639">
        <f>V176+AC176+S176*'Założenia,wskaźniki, listy'!$J$46</f>
        <v>0</v>
      </c>
      <c r="AP176" s="639">
        <f t="shared" ref="AP176" si="329">W176+AD176</f>
        <v>3.6300000000000004E-6</v>
      </c>
      <c r="AQ176" s="639">
        <f t="shared" ref="AQ176" si="330">X176+AE176</f>
        <v>3.3E-4</v>
      </c>
      <c r="AR176" s="639">
        <f t="shared" ref="AR176" si="331">Y176+AF176</f>
        <v>2.4000000000000002E-3</v>
      </c>
      <c r="AS176" s="639">
        <f t="shared" ref="AS176" si="332">Z176+AG176</f>
        <v>5.3819999999999996E-3</v>
      </c>
      <c r="AT176" s="647"/>
      <c r="AU176" s="647"/>
      <c r="AV176" s="624">
        <f t="shared" si="241"/>
        <v>0</v>
      </c>
      <c r="AW176" s="624" t="b">
        <f t="shared" si="242"/>
        <v>0</v>
      </c>
      <c r="AX176" s="624" t="b">
        <f t="shared" si="243"/>
        <v>0</v>
      </c>
      <c r="AY176" s="624" t="b">
        <f t="shared" si="244"/>
        <v>0</v>
      </c>
      <c r="AZ176" s="624" t="b">
        <f t="shared" si="245"/>
        <v>0</v>
      </c>
      <c r="BA176" s="624" t="b">
        <f t="shared" si="246"/>
        <v>0</v>
      </c>
      <c r="BB176" s="624" t="b">
        <f t="shared" si="247"/>
        <v>0</v>
      </c>
      <c r="BC176" s="624" t="b">
        <f t="shared" si="248"/>
        <v>0</v>
      </c>
      <c r="BD176" s="624" t="b">
        <f t="shared" si="249"/>
        <v>0</v>
      </c>
      <c r="BE176" s="624" t="b">
        <f t="shared" si="250"/>
        <v>0</v>
      </c>
      <c r="BF176" s="624" t="b">
        <f t="shared" si="251"/>
        <v>0</v>
      </c>
      <c r="BG176" s="624" t="b">
        <f t="shared" si="252"/>
        <v>0</v>
      </c>
      <c r="BH176" s="624">
        <f t="shared" si="253"/>
        <v>30</v>
      </c>
      <c r="BI176" s="624" t="b">
        <f t="shared" si="254"/>
        <v>0</v>
      </c>
      <c r="BJ176" s="624" t="b">
        <f t="shared" si="255"/>
        <v>0</v>
      </c>
      <c r="BK176" s="624" t="b">
        <f t="shared" si="256"/>
        <v>0</v>
      </c>
      <c r="BL176" s="624" t="b">
        <f t="shared" si="257"/>
        <v>0</v>
      </c>
      <c r="BM176" s="624" t="b">
        <f t="shared" si="258"/>
        <v>0</v>
      </c>
      <c r="BN176" s="624" t="b">
        <f t="shared" si="259"/>
        <v>0</v>
      </c>
      <c r="BO176" s="624" t="b">
        <f t="shared" si="260"/>
        <v>0</v>
      </c>
      <c r="BP176" s="624" t="b">
        <f t="shared" si="261"/>
        <v>0</v>
      </c>
      <c r="BQ176" s="624" t="b">
        <f t="shared" si="262"/>
        <v>0</v>
      </c>
    </row>
    <row r="177" spans="1:69" ht="8.25" customHeight="1">
      <c r="A177" s="1086">
        <v>87</v>
      </c>
      <c r="B177" s="872" t="s">
        <v>21</v>
      </c>
      <c r="C177" s="873" t="s">
        <v>634</v>
      </c>
      <c r="D177" s="645"/>
      <c r="E177" s="645">
        <v>45</v>
      </c>
      <c r="F177" s="644">
        <v>1978</v>
      </c>
      <c r="G177" s="644">
        <v>140</v>
      </c>
      <c r="H177" s="644"/>
      <c r="I177" s="635"/>
      <c r="J177" s="644">
        <f>IF(F177&lt;=1966,'Założenia,wskaźniki, listy'!$H$4,IF(F177&gt;1966,IF(F177&lt;=1985,'Założenia,wskaźniki, listy'!$H$5,IF(F177&gt;1985,IF(F177&lt;=1992,'Założenia,wskaźniki, listy'!$H$6,IF(F177&gt;1992,IF(F177&lt;=1996,'Założenia,wskaźniki, listy'!$H$7,IF(F177&gt;1996,IF(F177&lt;=2015,'Założenia,wskaźniki, listy'!$H$8)))))))))</f>
        <v>250</v>
      </c>
      <c r="K177" s="864" t="s">
        <v>33</v>
      </c>
      <c r="L177" s="644" t="s">
        <v>8</v>
      </c>
      <c r="M177" s="644">
        <v>4</v>
      </c>
      <c r="N177" s="644"/>
      <c r="O177" s="637">
        <f t="shared" si="240"/>
        <v>95.62</v>
      </c>
      <c r="P177" s="646">
        <f>IF(K177="kompletna",J177*G177*0.0036*'Założenia,wskaźniki, listy'!$P$9,IF(K177="częściowa",J177*G177*0.0036*'Założenia,wskaźniki, listy'!$P$10,IF(K177="brak",J177*G177*0.0036*'Założenia,wskaźniki, listy'!$P$11,0)))</f>
        <v>100.80000000000001</v>
      </c>
      <c r="Q177" s="638">
        <f>H177*'Założenia,wskaźniki, listy'!$L$15</f>
        <v>0</v>
      </c>
      <c r="R177" s="635">
        <f>IF(L177="węgiel",'Mieszkalne - baza'!M177*'Założenia,wskaźniki, listy'!$B$4,IF(L177="gaz",'Mieszkalne - baza'!M177*'Założenia,wskaźniki, listy'!$B$5,IF(L177="drewno",'Mieszkalne - baza'!M177*'Założenia,wskaźniki, listy'!$B$6,IF(L177="pelet",'Mieszkalne - baza'!M177*'Założenia,wskaźniki, listy'!$B$7,IF(L177="olej opałowy",'Mieszkalne - baza'!M177*'Założenia,wskaźniki, listy'!$B$8,IF(L177="sieć ciepłownicza",0,0))))))</f>
        <v>90.44</v>
      </c>
      <c r="S177" s="1084">
        <v>1.6919999999999999</v>
      </c>
      <c r="T177" s="639">
        <f>IF(L177="węgiel",R177*'Założenia,wskaźniki, listy'!$C$44,IF(L177="gaz",R177*'Założenia,wskaźniki, listy'!$D$44,IF(L177="drewno",R177*'Założenia,wskaźniki, listy'!$E$44,IF(L177="pelet",R177*'Założenia,wskaźniki, listy'!$F$44,IF(L177="olej opałowy",R177*'Założenia,wskaźniki, listy'!$G$44,IF(L177="sieć ciepłownicza",0,IF(L177="prąd",0,0)))))))</f>
        <v>2.0348999999999999E-2</v>
      </c>
      <c r="U177" s="639">
        <f>IF(L177="węgiel",R177*'Założenia,wskaźniki, listy'!$C$45,IF(L177="gaz",R177*'Założenia,wskaźniki, listy'!$D$45,IF(L177="drewno",R177*'Założenia,wskaźniki, listy'!$E$45,IF(L177="pelet",R177*'Założenia,wskaźniki, listy'!$F$45,IF(L177="olej opałowy",R177*'Założenia,wskaźniki, listy'!$G$45,IF(L177="sieć ciepłownicza",0,IF(L177="prąd",0,0)))))))</f>
        <v>1.8178440000000001E-2</v>
      </c>
      <c r="V177" s="639">
        <f>IF(L177="węgiel",R177*'Założenia,wskaźniki, listy'!$C$46,IF(L177="gaz",R177*'Założenia,wskaźniki, listy'!$D$46,IF(L177="drewno",R177*'Założenia,wskaźniki, listy'!$E$46,IF(L177="pelet",R177*'Założenia,wskaźniki, listy'!$F$46,IF(L177="olej opałowy",R177*'Założenia,wskaźniki, listy'!$G$46,IF(L177="sieć ciepłownicza",R177*'Założenia,wskaźniki, listy'!$H$46,IF(L177="prąd",R177*'Założenia,wskaźniki, listy'!$I$46,0)))))))</f>
        <v>8.4778455999999984</v>
      </c>
      <c r="W177" s="639">
        <f>IF(L177="węgiel",R177*'Założenia,wskaźniki, listy'!$C$47,IF(L177="gaz",R177*'Założenia,wskaźniki, listy'!$D$47,IF(L177="drewno",R177*'Założenia,wskaźniki, listy'!$E$47,IF(L177="pelet",R177*'Założenia,wskaźniki, listy'!$F$47,IF(L177="olej opałowy",R177*'Założenia,wskaźniki, listy'!$G$47,IF(L177="sieć ciepłownicza",0,IF(L177="prąd",0,0)))))))</f>
        <v>2.4418800000000001E-5</v>
      </c>
      <c r="X177" s="639">
        <f>IF(L177="węgiel",R177*'Założenia,wskaźniki, listy'!$C$48, IF(L177="gaz",R177*'Założenia,wskaźniki, listy'!$D$48,IF(L177="drewno",R177*'Założenia,wskaźniki, listy'!$E$48,IF(L177="pelet",R177*'Założenia,wskaźniki, listy'!$F$48,IF(L177="olej opałowy",R177*'Założenia,wskaźniki, listy'!$G$48,IF(L177="sieć ciepłownicza",0,IF(L177="prąd",0,0)))))))</f>
        <v>8.1395999999999996E-2</v>
      </c>
      <c r="Y177" s="639">
        <f>IF(L177="węgiel",R177*'Założenia,wskaźniki, listy'!$C$49, IF(L177="gaz",R177*'Założenia,wskaźniki, listy'!$D$49, IF(L177="drewno",R177*'Założenia,wskaźniki, listy'!$E$49,IF(L177="pelet",R177*'Założenia,wskaźniki, listy'!$F$49,IF(L177="olej opałowy",R177*'Założenia,wskaźniki, listy'!$G$49,IF(L177="sieć ciepłownicza",0,IF(L177="prąd",0,0)))))))</f>
        <v>1.4289519999999998E-2</v>
      </c>
      <c r="Z177" s="639">
        <f>IF(L177="węgiel",R177*'Założenia,wskaźniki, listy'!$C$50,IF(L177="gaz",R177*'Założenia,wskaźniki, listy'!$D$50, IF(L177="drewno",R177*'Założenia,wskaźniki, listy'!$E$50,IF(L177="pelet",R177*'Założenia,wskaźniki, listy'!$F$50,IF(L177="pelet",R177*'Założenia,wskaźniki, listy'!$F$50,IF(L177="olej opałowy",R177*'Założenia,wskaźniki, listy'!$G$50,IF(L177="sieć ciepłownicza",0,IF(L177="prąd",0,0))))))))</f>
        <v>0.18193115780062583</v>
      </c>
      <c r="AA177" s="639">
        <f>IF(N177="węgiel",Q177*'Założenia,wskaźniki, listy'!$C$44,IF(N177="gaz",Q177*'Założenia,wskaźniki, listy'!$D$44,IF(N177="drewno",Q177*'Założenia,wskaźniki, listy'!$E$44,IF(N177="pelet",Q177*'Założenia,wskaźniki, listy'!$G$44,IF(N177="olej opałowy",Q177*'Założenia,wskaźniki, listy'!$G$44,IF(N177="sieć ciepłownicza",0,IF(N177="prąd",0,0)))))))</f>
        <v>0</v>
      </c>
      <c r="AB177" s="639">
        <f>IF(N177="węgiel",Q177*'Założenia,wskaźniki, listy'!$C$45,IF(N177="gaz",Q177*'Założenia,wskaźniki, listy'!$D$45,IF(N177="drewno",Q177*'Założenia,wskaźniki, listy'!$E$45,IF(N177="pelet",Q177*'Założenia,wskaźniki, listy'!$G$45,IF(N177="olej opałowy",Q177*'Założenia,wskaźniki, listy'!$G$45,IF(N177="sieć ciepłownicza",0,IF(N177="prąd",0,0)))))))</f>
        <v>0</v>
      </c>
      <c r="AC177" s="639">
        <f>IF(N177="węgiel",Q177*'Założenia,wskaźniki, listy'!$C$46,IF(N177="gaz",Q177*'Założenia,wskaźniki, listy'!$D$46,IF(N177="drewno",Q177*'Założenia,wskaźniki, listy'!$E$46,IF(N177="pelet",Q177*'Założenia,wskaźniki, listy'!$G$46,IF(N177="olej opałowy",Q177*'Założenia,wskaźniki, listy'!$G$46,IF(N177="sieć ciepłownicza",0,IF(N177="prąd",0,0)))))))</f>
        <v>0</v>
      </c>
      <c r="AD177" s="639">
        <f>IF(N177="węgiel",Q177*'Założenia,wskaźniki, listy'!$C$47,IF(N177="gaz",Q177*'Założenia,wskaźniki, listy'!$D$47,IF(N177="drewno",Q177*'Założenia,wskaźniki, listy'!$E$47,IF(N177="pelet",Q177*'Założenia,wskaźniki, listy'!$G$47,IF(N177="olej opałowy",Q177*'Założenia,wskaźniki, listy'!$G$47,IF(N177="sieć ciepłownicza",0,IF(N177="prąd",0,0)))))))</f>
        <v>0</v>
      </c>
      <c r="AE177" s="639">
        <f>IF(N177="węgiel",Q177*'Założenia,wskaźniki, listy'!$C$48,IF(N177="gaz",Q177*'Założenia,wskaźniki, listy'!$D$48,IF(N177="drewno",Q177*'Założenia,wskaźniki, listy'!$E$48,IF(N177="pelet",Q177*'Założenia,wskaźniki, listy'!$G$48,IF(N177="olej opałowy",Q177*'Założenia,wskaźniki, listy'!$G$48,IF(N177="sieć ciepłownicza",0,IF(N177="prąd",0,0)))))))</f>
        <v>0</v>
      </c>
      <c r="AF177" s="639">
        <f>IF(N177="węgiel",Q177*'Założenia,wskaźniki, listy'!$C$49,IF(N177="gaz",Q177*'Założenia,wskaźniki, listy'!$D$49,IF(N177="drewno",Q177*'Założenia,wskaźniki, listy'!$E$49,IF(N177="pelet",Q177*'Założenia,wskaźniki, listy'!$G$49,IF(N177="olej opałowy",Q177*'Założenia,wskaźniki, listy'!$G$49,IF(N177="sieć ciepłownicza",0,IF(N177="prąd",0,0)))))))</f>
        <v>0</v>
      </c>
      <c r="AG177" s="639">
        <f>IF(N177="węgiel",Q177*'Założenia,wskaźniki, listy'!$C$50,IF(N177="gaz",Q177*'Założenia,wskaźniki, listy'!$D$50,IF(N177="drewno",Q177*'Założenia,wskaźniki, listy'!$E$50,IF(N177="pelet",Q177*'Założenia,wskaźniki, listy'!$G$50,IF(N177="olej opałowy",Q177*'Założenia,wskaźniki, listy'!$G$50,IF(N177="sieć ciepłownicza",0,IF(N177="prąd",0,0)))))))</f>
        <v>0</v>
      </c>
      <c r="AH177" s="640">
        <f>IF(L177="węgiel",(P177+R177)/2*'Założenia,wskaźniki, listy'!$C$4,IF(L177="gaz",(P177+R177)/2*'Założenia,wskaźniki, listy'!$C$5,IF(L177="drewno",(P177+R177)/2*'Założenia,wskaźniki, listy'!$C$6,IF(L177="pelet",(P177+R177)/2*'Założenia,wskaźniki, listy'!$C$7,IF(L177="olej opałowy",(P177+R177)/2*'Założenia,wskaźniki, listy'!$C$8,IF(L177="sieć ciepłownicza",(P177+R177)/2*'Założenia,wskaźniki, listy'!$C$9,IF(L177="sieć ciepłownicza",(P177+R177)/2*'Założenia,wskaźniki, listy'!$C$10,)))))))</f>
        <v>3920.42</v>
      </c>
      <c r="AI177" s="640">
        <f>IF(N177="węgiel",Q177*'Założenia,wskaźniki, listy'!$C$4,IF(N177="gaz",Q177*'Założenia,wskaźniki, listy'!$C$5,IF(N177="drewno",Q177*'Założenia,wskaźniki, listy'!$C$6,IF(N177="pelet",Q177*'Założenia,wskaźniki, listy'!$C$7,IF(N177="olej opałowy",Q177*'Założenia,wskaźniki, listy'!$C$8,IF(N177="sieć ciepłownicza",Q177*'Założenia,wskaźniki, listy'!$C$9,IF(N177="sieć ciepłownicza",Q177*'Założenia,wskaźniki, listy'!$C$10,0)))))))</f>
        <v>0</v>
      </c>
      <c r="AJ177" s="640">
        <f>S177*'Założenia,wskaźniki, listy'!$B$64*1000</f>
        <v>1201.32</v>
      </c>
      <c r="AK177" s="640">
        <f>(H177+I177)*'Założenia,wskaźniki, listy'!$D$64*12</f>
        <v>0</v>
      </c>
      <c r="AL177" s="640">
        <f>AK177*'Założenia,wskaźniki, listy'!$F$64</f>
        <v>0</v>
      </c>
      <c r="AM177" s="639">
        <f t="shared" si="206"/>
        <v>2.0348999999999999E-2</v>
      </c>
      <c r="AN177" s="639">
        <f t="shared" si="207"/>
        <v>1.8178440000000001E-2</v>
      </c>
      <c r="AO177" s="639">
        <f>V177+AC177+S177*'Założenia,wskaźniki, listy'!$J$46</f>
        <v>9.8847435999999984</v>
      </c>
      <c r="AP177" s="639">
        <f t="shared" si="208"/>
        <v>2.4418800000000001E-5</v>
      </c>
      <c r="AQ177" s="639">
        <f t="shared" si="209"/>
        <v>8.1395999999999996E-2</v>
      </c>
      <c r="AR177" s="639">
        <f t="shared" si="210"/>
        <v>1.4289519999999998E-2</v>
      </c>
      <c r="AS177" s="639">
        <f t="shared" si="211"/>
        <v>0.18193115780062583</v>
      </c>
      <c r="AT177" s="647"/>
      <c r="AU177" s="647"/>
      <c r="AV177" s="624" t="b">
        <f t="shared" si="241"/>
        <v>0</v>
      </c>
      <c r="AW177" s="624">
        <f t="shared" si="242"/>
        <v>0</v>
      </c>
      <c r="AX177" s="624">
        <f t="shared" si="243"/>
        <v>140</v>
      </c>
      <c r="AY177" s="624">
        <f t="shared" si="244"/>
        <v>70</v>
      </c>
      <c r="AZ177" s="624" t="b">
        <f t="shared" si="245"/>
        <v>0</v>
      </c>
      <c r="BA177" s="624">
        <f t="shared" si="246"/>
        <v>0</v>
      </c>
      <c r="BB177" s="624" t="b">
        <f t="shared" si="247"/>
        <v>0</v>
      </c>
      <c r="BC177" s="624">
        <f t="shared" si="248"/>
        <v>0</v>
      </c>
      <c r="BD177" s="624" t="b">
        <f t="shared" si="249"/>
        <v>0</v>
      </c>
      <c r="BE177" s="624">
        <f t="shared" si="250"/>
        <v>0</v>
      </c>
      <c r="BF177" s="624">
        <f t="shared" si="251"/>
        <v>90.44</v>
      </c>
      <c r="BG177" s="624" t="b">
        <f t="shared" si="252"/>
        <v>0</v>
      </c>
      <c r="BH177" s="624" t="b">
        <f t="shared" si="253"/>
        <v>0</v>
      </c>
      <c r="BI177" s="624" t="b">
        <f t="shared" si="254"/>
        <v>0</v>
      </c>
      <c r="BJ177" s="624" t="b">
        <f t="shared" si="255"/>
        <v>0</v>
      </c>
      <c r="BK177" s="624" t="b">
        <f t="shared" si="256"/>
        <v>0</v>
      </c>
      <c r="BL177" s="624" t="b">
        <f t="shared" si="257"/>
        <v>0</v>
      </c>
      <c r="BM177" s="624" t="b">
        <f t="shared" si="258"/>
        <v>0</v>
      </c>
      <c r="BN177" s="624" t="b">
        <f t="shared" si="259"/>
        <v>0</v>
      </c>
      <c r="BO177" s="624" t="b">
        <f t="shared" si="260"/>
        <v>0</v>
      </c>
      <c r="BP177" s="624" t="b">
        <f t="shared" si="261"/>
        <v>0</v>
      </c>
      <c r="BQ177" s="624" t="b">
        <f t="shared" si="262"/>
        <v>0</v>
      </c>
    </row>
    <row r="178" spans="1:69" ht="8.25" customHeight="1">
      <c r="A178" s="1086"/>
      <c r="B178" s="872"/>
      <c r="C178" s="872"/>
      <c r="D178" s="645"/>
      <c r="E178" s="645"/>
      <c r="F178" s="644"/>
      <c r="G178" s="644"/>
      <c r="H178" s="644"/>
      <c r="I178" s="635"/>
      <c r="J178" s="644">
        <f>IF(F178&lt;=1966,'Założenia,wskaźniki, listy'!$H$4,IF(F178&gt;1966,IF(F178&lt;=1985,'Założenia,wskaźniki, listy'!$H$5,IF(F178&gt;1985,IF(F178&lt;=1992,'Założenia,wskaźniki, listy'!$H$6,IF(F178&gt;1992,IF(F178&lt;=1996,'Założenia,wskaźniki, listy'!$H$7,IF(F178&gt;1996,IF(F178&lt;=2015,'Założenia,wskaźniki, listy'!$H$8)))))))))</f>
        <v>290</v>
      </c>
      <c r="K178" s="872"/>
      <c r="L178" s="644"/>
      <c r="M178" s="644"/>
      <c r="N178" s="644"/>
      <c r="O178" s="637">
        <f t="shared" ref="O178" si="333">IF(P178&gt;0,(Q178+R178+P178)/2,Q178+R178)</f>
        <v>0</v>
      </c>
      <c r="P178" s="646">
        <f>IF(K178="kompletna",J178*G178*0.0036*'Założenia,wskaźniki, listy'!$P$9,IF(K178="częściowa",J178*G178*0.0036*'Założenia,wskaźniki, listy'!$P$10,IF(K178="brak",J178*G178*0.0036*'Założenia,wskaźniki, listy'!$P$11,0)))</f>
        <v>0</v>
      </c>
      <c r="Q178" s="638">
        <f>H178*'Założenia,wskaźniki, listy'!$L$15</f>
        <v>0</v>
      </c>
      <c r="R178" s="635">
        <f>IF(L178="węgiel",'Mieszkalne - baza'!M178*'Założenia,wskaźniki, listy'!$B$4,IF(L178="gaz",'Mieszkalne - baza'!M178*'Założenia,wskaźniki, listy'!$B$5,IF(L178="drewno",'Mieszkalne - baza'!M178*'Założenia,wskaźniki, listy'!$B$6,IF(L178="pelet",'Mieszkalne - baza'!M178*'Założenia,wskaźniki, listy'!$B$7,IF(L178="olej opałowy",'Mieszkalne - baza'!M178*'Założenia,wskaźniki, listy'!$B$8,IF(L178="sieć ciepłownicza",0,0))))))</f>
        <v>0</v>
      </c>
      <c r="S178" s="1085"/>
      <c r="T178" s="639">
        <f>IF(L178="węgiel",R178*'Założenia,wskaźniki, listy'!$C$44,IF(L178="gaz",R178*'Założenia,wskaźniki, listy'!$D$44,IF(L178="drewno",R178*'Założenia,wskaźniki, listy'!$E$44,IF(L178="pelet",R178*'Założenia,wskaźniki, listy'!$F$44,IF(L178="olej opałowy",R178*'Założenia,wskaźniki, listy'!$G$44,IF(L178="sieć ciepłownicza",0,IF(L178="prąd",0,0)))))))</f>
        <v>0</v>
      </c>
      <c r="U178" s="639">
        <f>IF(L178="węgiel",R178*'Założenia,wskaźniki, listy'!$C$45,IF(L178="gaz",R178*'Założenia,wskaźniki, listy'!$D$45,IF(L178="drewno",R178*'Założenia,wskaźniki, listy'!$E$45,IF(L178="pelet",R178*'Założenia,wskaźniki, listy'!$F$45,IF(L178="olej opałowy",R178*'Założenia,wskaźniki, listy'!$G$45,IF(L178="sieć ciepłownicza",0,IF(L178="prąd",0,0)))))))</f>
        <v>0</v>
      </c>
      <c r="V178" s="639">
        <f>IF(L178="węgiel",R178*'Założenia,wskaźniki, listy'!$C$46,IF(L178="gaz",R178*'Założenia,wskaźniki, listy'!$D$46,IF(L178="drewno",R178*'Założenia,wskaźniki, listy'!$E$46,IF(L178="pelet",R178*'Założenia,wskaźniki, listy'!$F$46,IF(L178="olej opałowy",R178*'Założenia,wskaźniki, listy'!$G$46,IF(L178="sieć ciepłownicza",R178*'Założenia,wskaźniki, listy'!$H$46,IF(L178="prąd",R178*'Założenia,wskaźniki, listy'!$I$46,0)))))))</f>
        <v>0</v>
      </c>
      <c r="W178" s="639">
        <f>IF(L178="węgiel",R178*'Założenia,wskaźniki, listy'!$C$47,IF(L178="gaz",R178*'Założenia,wskaźniki, listy'!$D$47,IF(L178="drewno",R178*'Założenia,wskaźniki, listy'!$E$47,IF(L178="pelet",R178*'Założenia,wskaźniki, listy'!$F$47,IF(L178="olej opałowy",R178*'Założenia,wskaźniki, listy'!$G$47,IF(L178="sieć ciepłownicza",0,IF(L178="prąd",0,0)))))))</f>
        <v>0</v>
      </c>
      <c r="X178" s="639">
        <f>IF(L178="węgiel",R178*'Założenia,wskaźniki, listy'!$C$48, IF(L178="gaz",R178*'Założenia,wskaźniki, listy'!$D$48,IF(L178="drewno",R178*'Założenia,wskaźniki, listy'!$E$48,IF(L178="pelet",R178*'Założenia,wskaźniki, listy'!$F$48,IF(L178="olej opałowy",R178*'Założenia,wskaźniki, listy'!$G$48,IF(L178="sieć ciepłownicza",0,IF(L178="prąd",0,0)))))))</f>
        <v>0</v>
      </c>
      <c r="Y178" s="639">
        <f>IF(L178="węgiel",R178*'Założenia,wskaźniki, listy'!$C$49, IF(L178="gaz",R178*'Założenia,wskaźniki, listy'!$D$49, IF(L178="drewno",R178*'Założenia,wskaźniki, listy'!$E$49,IF(L178="pelet",R178*'Założenia,wskaźniki, listy'!$F$49,IF(L178="olej opałowy",R178*'Założenia,wskaźniki, listy'!$G$49,IF(L178="sieć ciepłownicza",0,IF(L178="prąd",0,0)))))))</f>
        <v>0</v>
      </c>
      <c r="Z178" s="639">
        <f>IF(L178="węgiel",R178*'Założenia,wskaźniki, listy'!$C$50,IF(L178="gaz",R178*'Założenia,wskaźniki, listy'!$D$50, IF(L178="drewno",R178*'Założenia,wskaźniki, listy'!$E$50,IF(L178="pelet",R178*'Założenia,wskaźniki, listy'!$F$50,IF(L178="pelet",R178*'Założenia,wskaźniki, listy'!$F$50,IF(L178="olej opałowy",R178*'Założenia,wskaźniki, listy'!$G$50,IF(L178="sieć ciepłownicza",0,IF(L178="prąd",0,0))))))))</f>
        <v>0</v>
      </c>
      <c r="AA178" s="639">
        <f>IF(N178="węgiel",Q178*'Założenia,wskaźniki, listy'!$C$44,IF(N178="gaz",Q178*'Założenia,wskaźniki, listy'!$D$44,IF(N178="drewno",Q178*'Założenia,wskaźniki, listy'!$E$44,IF(N178="pelet",Q178*'Założenia,wskaźniki, listy'!$G$44,IF(N178="olej opałowy",Q178*'Założenia,wskaźniki, listy'!$G$44,IF(N178="sieć ciepłownicza",0,IF(N178="prąd",0,0)))))))</f>
        <v>0</v>
      </c>
      <c r="AB178" s="639">
        <f>IF(N178="węgiel",Q178*'Założenia,wskaźniki, listy'!$C$45,IF(N178="gaz",Q178*'Założenia,wskaźniki, listy'!$D$45,IF(N178="drewno",Q178*'Założenia,wskaźniki, listy'!$E$45,IF(N178="pelet",Q178*'Założenia,wskaźniki, listy'!$G$45,IF(N178="olej opałowy",Q178*'Założenia,wskaźniki, listy'!$G$45,IF(N178="sieć ciepłownicza",0,IF(N178="prąd",0,0)))))))</f>
        <v>0</v>
      </c>
      <c r="AC178" s="639">
        <f>IF(N178="węgiel",Q178*'Założenia,wskaźniki, listy'!$C$46,IF(N178="gaz",Q178*'Założenia,wskaźniki, listy'!$D$46,IF(N178="drewno",Q178*'Założenia,wskaźniki, listy'!$E$46,IF(N178="pelet",Q178*'Założenia,wskaźniki, listy'!$G$46,IF(N178="olej opałowy",Q178*'Założenia,wskaźniki, listy'!$G$46,IF(N178="sieć ciepłownicza",0,IF(N178="prąd",0,0)))))))</f>
        <v>0</v>
      </c>
      <c r="AD178" s="639">
        <f>IF(N178="węgiel",Q178*'Założenia,wskaźniki, listy'!$C$47,IF(N178="gaz",Q178*'Założenia,wskaźniki, listy'!$D$47,IF(N178="drewno",Q178*'Założenia,wskaźniki, listy'!$E$47,IF(N178="pelet",Q178*'Założenia,wskaźniki, listy'!$G$47,IF(N178="olej opałowy",Q178*'Założenia,wskaźniki, listy'!$G$47,IF(N178="sieć ciepłownicza",0,IF(N178="prąd",0,0)))))))</f>
        <v>0</v>
      </c>
      <c r="AE178" s="639">
        <f>IF(N178="węgiel",Q178*'Założenia,wskaźniki, listy'!$C$48,IF(N178="gaz",Q178*'Założenia,wskaźniki, listy'!$D$48,IF(N178="drewno",Q178*'Założenia,wskaźniki, listy'!$E$48,IF(N178="pelet",Q178*'Założenia,wskaźniki, listy'!$G$48,IF(N178="olej opałowy",Q178*'Założenia,wskaźniki, listy'!$G$48,IF(N178="sieć ciepłownicza",0,IF(N178="prąd",0,0)))))))</f>
        <v>0</v>
      </c>
      <c r="AF178" s="639">
        <f>IF(N178="węgiel",Q178*'Założenia,wskaźniki, listy'!$C$49,IF(N178="gaz",Q178*'Założenia,wskaźniki, listy'!$D$49,IF(N178="drewno",Q178*'Założenia,wskaźniki, listy'!$E$49,IF(N178="pelet",Q178*'Założenia,wskaźniki, listy'!$G$49,IF(N178="olej opałowy",Q178*'Założenia,wskaźniki, listy'!$G$49,IF(N178="sieć ciepłownicza",0,IF(N178="prąd",0,0)))))))</f>
        <v>0</v>
      </c>
      <c r="AG178" s="639">
        <f>IF(N178="węgiel",Q178*'Założenia,wskaźniki, listy'!$C$50,IF(N178="gaz",Q178*'Założenia,wskaźniki, listy'!$D$50,IF(N178="drewno",Q178*'Założenia,wskaźniki, listy'!$E$50,IF(N178="pelet",Q178*'Założenia,wskaźniki, listy'!$G$50,IF(N178="olej opałowy",Q178*'Założenia,wskaźniki, listy'!$G$50,IF(N178="sieć ciepłownicza",0,IF(N178="prąd",0,0)))))))</f>
        <v>0</v>
      </c>
      <c r="AH178" s="640">
        <f>IF(L178="węgiel",(P178+R178)/2*'Założenia,wskaźniki, listy'!$C$4,IF(L178="gaz",(P178+R178)/2*'Założenia,wskaźniki, listy'!$C$5,IF(L178="drewno",(P178+R178)/2*'Założenia,wskaźniki, listy'!$C$6,IF(L178="pelet",(P178+R178)/2*'Założenia,wskaźniki, listy'!$C$7,IF(L178="olej opałowy",(P178+R178)/2*'Założenia,wskaźniki, listy'!$C$8,IF(L178="sieć ciepłownicza",(P178+R178)/2*'Założenia,wskaźniki, listy'!$C$9,IF(L178="sieć ciepłownicza",(P178+R178)/2*'Założenia,wskaźniki, listy'!$C$10,)))))))</f>
        <v>0</v>
      </c>
      <c r="AI178" s="640">
        <f>IF(N178="węgiel",Q178*'Założenia,wskaźniki, listy'!$C$4,IF(N178="gaz",Q178*'Założenia,wskaźniki, listy'!$C$5,IF(N178="drewno",Q178*'Założenia,wskaźniki, listy'!$C$6,IF(N178="pelet",Q178*'Założenia,wskaźniki, listy'!$C$7,IF(N178="olej opałowy",Q178*'Założenia,wskaźniki, listy'!$C$8,IF(N178="sieć ciepłownicza",Q178*'Założenia,wskaźniki, listy'!$C$9,IF(N178="sieć ciepłownicza",Q178*'Założenia,wskaźniki, listy'!$C$10,0)))))))</f>
        <v>0</v>
      </c>
      <c r="AJ178" s="640">
        <f>S178*'Założenia,wskaźniki, listy'!$B$64*1000</f>
        <v>0</v>
      </c>
      <c r="AK178" s="640">
        <f>(H178+I178)*'Założenia,wskaźniki, listy'!$D$64*12</f>
        <v>0</v>
      </c>
      <c r="AL178" s="640">
        <f>AK178*'Założenia,wskaźniki, listy'!$F$64</f>
        <v>0</v>
      </c>
      <c r="AM178" s="639">
        <f t="shared" ref="AM178" si="334">T178+AA178</f>
        <v>0</v>
      </c>
      <c r="AN178" s="639">
        <f t="shared" ref="AN178" si="335">U178+AB178</f>
        <v>0</v>
      </c>
      <c r="AO178" s="639">
        <f>V178+AC178+S178*'Założenia,wskaźniki, listy'!$J$46</f>
        <v>0</v>
      </c>
      <c r="AP178" s="639">
        <f t="shared" ref="AP178" si="336">W178+AD178</f>
        <v>0</v>
      </c>
      <c r="AQ178" s="639">
        <f t="shared" ref="AQ178" si="337">X178+AE178</f>
        <v>0</v>
      </c>
      <c r="AR178" s="639">
        <f t="shared" ref="AR178" si="338">Y178+AF178</f>
        <v>0</v>
      </c>
      <c r="AS178" s="639">
        <f t="shared" ref="AS178" si="339">Z178+AG178</f>
        <v>0</v>
      </c>
      <c r="AT178" s="647"/>
      <c r="AU178" s="647"/>
      <c r="AV178" s="624">
        <f t="shared" si="241"/>
        <v>0</v>
      </c>
      <c r="AW178" s="624" t="b">
        <f t="shared" si="242"/>
        <v>0</v>
      </c>
      <c r="AX178" s="624" t="b">
        <f t="shared" si="243"/>
        <v>0</v>
      </c>
      <c r="AY178" s="624" t="b">
        <f t="shared" si="244"/>
        <v>0</v>
      </c>
      <c r="AZ178" s="624" t="b">
        <f t="shared" si="245"/>
        <v>0</v>
      </c>
      <c r="BA178" s="624" t="b">
        <f t="shared" si="246"/>
        <v>0</v>
      </c>
      <c r="BB178" s="624" t="b">
        <f t="shared" si="247"/>
        <v>0</v>
      </c>
      <c r="BC178" s="624" t="b">
        <f t="shared" si="248"/>
        <v>0</v>
      </c>
      <c r="BD178" s="624" t="b">
        <f t="shared" si="249"/>
        <v>0</v>
      </c>
      <c r="BE178" s="624" t="b">
        <f t="shared" si="250"/>
        <v>0</v>
      </c>
      <c r="BF178" s="624" t="b">
        <f t="shared" si="251"/>
        <v>0</v>
      </c>
      <c r="BG178" s="624" t="b">
        <f t="shared" si="252"/>
        <v>0</v>
      </c>
      <c r="BH178" s="624" t="b">
        <f t="shared" si="253"/>
        <v>0</v>
      </c>
      <c r="BI178" s="624" t="b">
        <f t="shared" si="254"/>
        <v>0</v>
      </c>
      <c r="BJ178" s="624" t="b">
        <f t="shared" si="255"/>
        <v>0</v>
      </c>
      <c r="BK178" s="624" t="b">
        <f t="shared" si="256"/>
        <v>0</v>
      </c>
      <c r="BL178" s="624" t="b">
        <f t="shared" si="257"/>
        <v>0</v>
      </c>
      <c r="BM178" s="624" t="b">
        <f t="shared" si="258"/>
        <v>0</v>
      </c>
      <c r="BN178" s="624" t="b">
        <f t="shared" si="259"/>
        <v>0</v>
      </c>
      <c r="BO178" s="624" t="b">
        <f t="shared" si="260"/>
        <v>0</v>
      </c>
      <c r="BP178" s="624" t="b">
        <f t="shared" si="261"/>
        <v>0</v>
      </c>
      <c r="BQ178" s="624" t="b">
        <f t="shared" si="262"/>
        <v>0</v>
      </c>
    </row>
    <row r="179" spans="1:69" ht="8.25" customHeight="1">
      <c r="A179" s="1086">
        <v>88</v>
      </c>
      <c r="B179" s="872" t="s">
        <v>21</v>
      </c>
      <c r="C179" s="873" t="s">
        <v>634</v>
      </c>
      <c r="D179" s="645"/>
      <c r="E179" s="645">
        <v>45</v>
      </c>
      <c r="F179" s="644">
        <v>1962</v>
      </c>
      <c r="G179" s="644">
        <v>70</v>
      </c>
      <c r="H179" s="644"/>
      <c r="I179" s="635"/>
      <c r="J179" s="644">
        <f>IF(F179&lt;=1966,'Założenia,wskaźniki, listy'!$H$4,IF(F179&gt;1966,IF(F179&lt;=1985,'Założenia,wskaźniki, listy'!$H$5,IF(F179&gt;1985,IF(F179&lt;=1992,'Założenia,wskaźniki, listy'!$H$6,IF(F179&gt;1992,IF(F179&lt;=1996,'Założenia,wskaźniki, listy'!$H$7,IF(F179&gt;1996,IF(F179&lt;=2015,'Założenia,wskaźniki, listy'!$H$8)))))))))</f>
        <v>290</v>
      </c>
      <c r="K179" s="864" t="s">
        <v>31</v>
      </c>
      <c r="L179" s="644" t="s">
        <v>8</v>
      </c>
      <c r="M179" s="644">
        <v>3</v>
      </c>
      <c r="N179" s="644"/>
      <c r="O179" s="637">
        <f t="shared" si="240"/>
        <v>70.454999999999998</v>
      </c>
      <c r="P179" s="646">
        <f>IF(K179="kompletna",J179*G179*0.0036*'Założenia,wskaźniki, listy'!$P$9,IF(K179="częściowa",J179*G179*0.0036*'Założenia,wskaźniki, listy'!$P$10,IF(K179="brak",J179*G179*0.0036*'Założenia,wskaźniki, listy'!$P$11,0)))</f>
        <v>73.08</v>
      </c>
      <c r="Q179" s="638">
        <f>H179*'Założenia,wskaźniki, listy'!$L$15</f>
        <v>0</v>
      </c>
      <c r="R179" s="635">
        <f>IF(L179="węgiel",'Mieszkalne - baza'!M179*'Założenia,wskaźniki, listy'!$B$4,IF(L179="gaz",'Mieszkalne - baza'!M179*'Założenia,wskaźniki, listy'!$B$5,IF(L179="drewno",'Mieszkalne - baza'!M179*'Założenia,wskaźniki, listy'!$B$6,IF(L179="pelet",'Mieszkalne - baza'!M179*'Założenia,wskaźniki, listy'!$B$7,IF(L179="olej opałowy",'Mieszkalne - baza'!M179*'Założenia,wskaźniki, listy'!$B$8,IF(L179="sieć ciepłownicza",0,0))))))</f>
        <v>67.83</v>
      </c>
      <c r="S179" s="1084">
        <v>1.8048000000000002</v>
      </c>
      <c r="T179" s="639">
        <f>IF(L179="węgiel",R179*'Założenia,wskaźniki, listy'!$C$44,IF(L179="gaz",R179*'Założenia,wskaźniki, listy'!$D$44,IF(L179="drewno",R179*'Założenia,wskaźniki, listy'!$E$44,IF(L179="pelet",R179*'Założenia,wskaźniki, listy'!$F$44,IF(L179="olej opałowy",R179*'Założenia,wskaźniki, listy'!$G$44,IF(L179="sieć ciepłownicza",0,IF(L179="prąd",0,0)))))))</f>
        <v>1.5261749999999999E-2</v>
      </c>
      <c r="U179" s="639">
        <f>IF(L179="węgiel",R179*'Założenia,wskaźniki, listy'!$C$45,IF(L179="gaz",R179*'Założenia,wskaźniki, listy'!$D$45,IF(L179="drewno",R179*'Założenia,wskaźniki, listy'!$E$45,IF(L179="pelet",R179*'Założenia,wskaźniki, listy'!$F$45,IF(L179="olej opałowy",R179*'Założenia,wskaźniki, listy'!$G$45,IF(L179="sieć ciepłownicza",0,IF(L179="prąd",0,0)))))))</f>
        <v>1.363383E-2</v>
      </c>
      <c r="V179" s="639">
        <f>IF(L179="węgiel",R179*'Założenia,wskaźniki, listy'!$C$46,IF(L179="gaz",R179*'Założenia,wskaźniki, listy'!$D$46,IF(L179="drewno",R179*'Założenia,wskaźniki, listy'!$E$46,IF(L179="pelet",R179*'Założenia,wskaźniki, listy'!$F$46,IF(L179="olej opałowy",R179*'Założenia,wskaźniki, listy'!$G$46,IF(L179="sieć ciepłownicza",R179*'Założenia,wskaźniki, listy'!$H$46,IF(L179="prąd",R179*'Założenia,wskaźniki, listy'!$I$46,0)))))))</f>
        <v>6.3583841999999988</v>
      </c>
      <c r="W179" s="639">
        <f>IF(L179="węgiel",R179*'Założenia,wskaźniki, listy'!$C$47,IF(L179="gaz",R179*'Założenia,wskaźniki, listy'!$D$47,IF(L179="drewno",R179*'Założenia,wskaźniki, listy'!$E$47,IF(L179="pelet",R179*'Założenia,wskaźniki, listy'!$F$47,IF(L179="olej opałowy",R179*'Założenia,wskaźniki, listy'!$G$47,IF(L179="sieć ciepłownicza",0,IF(L179="prąd",0,0)))))))</f>
        <v>1.8314100000000001E-5</v>
      </c>
      <c r="X179" s="639">
        <f>IF(L179="węgiel",R179*'Założenia,wskaźniki, listy'!$C$48, IF(L179="gaz",R179*'Założenia,wskaźniki, listy'!$D$48,IF(L179="drewno",R179*'Założenia,wskaźniki, listy'!$E$48,IF(L179="pelet",R179*'Założenia,wskaźniki, listy'!$F$48,IF(L179="olej opałowy",R179*'Założenia,wskaźniki, listy'!$G$48,IF(L179="sieć ciepłownicza",0,IF(L179="prąd",0,0)))))))</f>
        <v>6.1046999999999997E-2</v>
      </c>
      <c r="Y179" s="639">
        <f>IF(L179="węgiel",R179*'Założenia,wskaźniki, listy'!$C$49, IF(L179="gaz",R179*'Założenia,wskaźniki, listy'!$D$49, IF(L179="drewno",R179*'Założenia,wskaźniki, listy'!$E$49,IF(L179="pelet",R179*'Założenia,wskaźniki, listy'!$F$49,IF(L179="olej opałowy",R179*'Założenia,wskaźniki, listy'!$G$49,IF(L179="sieć ciepłownicza",0,IF(L179="prąd",0,0)))))))</f>
        <v>1.071714E-2</v>
      </c>
      <c r="Z179" s="639">
        <f>IF(L179="węgiel",R179*'Założenia,wskaźniki, listy'!$C$50,IF(L179="gaz",R179*'Założenia,wskaźniki, listy'!$D$50, IF(L179="drewno",R179*'Założenia,wskaźniki, listy'!$E$50,IF(L179="pelet",R179*'Założenia,wskaźniki, listy'!$F$50,IF(L179="pelet",R179*'Założenia,wskaźniki, listy'!$F$50,IF(L179="olej opałowy",R179*'Założenia,wskaźniki, listy'!$G$50,IF(L179="sieć ciepłownicza",0,IF(L179="prąd",0,0))))))))</f>
        <v>0.13644836835046936</v>
      </c>
      <c r="AA179" s="639">
        <f>IF(N179="węgiel",Q179*'Założenia,wskaźniki, listy'!$C$44,IF(N179="gaz",Q179*'Założenia,wskaźniki, listy'!$D$44,IF(N179="drewno",Q179*'Założenia,wskaźniki, listy'!$E$44,IF(N179="pelet",Q179*'Założenia,wskaźniki, listy'!$G$44,IF(N179="olej opałowy",Q179*'Założenia,wskaźniki, listy'!$G$44,IF(N179="sieć ciepłownicza",0,IF(N179="prąd",0,0)))))))</f>
        <v>0</v>
      </c>
      <c r="AB179" s="639">
        <f>IF(N179="węgiel",Q179*'Założenia,wskaźniki, listy'!$C$45,IF(N179="gaz",Q179*'Założenia,wskaźniki, listy'!$D$45,IF(N179="drewno",Q179*'Założenia,wskaźniki, listy'!$E$45,IF(N179="pelet",Q179*'Założenia,wskaźniki, listy'!$G$45,IF(N179="olej opałowy",Q179*'Założenia,wskaźniki, listy'!$G$45,IF(N179="sieć ciepłownicza",0,IF(N179="prąd",0,0)))))))</f>
        <v>0</v>
      </c>
      <c r="AC179" s="639">
        <f>IF(N179="węgiel",Q179*'Założenia,wskaźniki, listy'!$C$46,IF(N179="gaz",Q179*'Założenia,wskaźniki, listy'!$D$46,IF(N179="drewno",Q179*'Założenia,wskaźniki, listy'!$E$46,IF(N179="pelet",Q179*'Założenia,wskaźniki, listy'!$G$46,IF(N179="olej opałowy",Q179*'Założenia,wskaźniki, listy'!$G$46,IF(N179="sieć ciepłownicza",0,IF(N179="prąd",0,0)))))))</f>
        <v>0</v>
      </c>
      <c r="AD179" s="639">
        <f>IF(N179="węgiel",Q179*'Założenia,wskaźniki, listy'!$C$47,IF(N179="gaz",Q179*'Założenia,wskaźniki, listy'!$D$47,IF(N179="drewno",Q179*'Założenia,wskaźniki, listy'!$E$47,IF(N179="pelet",Q179*'Założenia,wskaźniki, listy'!$G$47,IF(N179="olej opałowy",Q179*'Założenia,wskaźniki, listy'!$G$47,IF(N179="sieć ciepłownicza",0,IF(N179="prąd",0,0)))))))</f>
        <v>0</v>
      </c>
      <c r="AE179" s="639">
        <f>IF(N179="węgiel",Q179*'Założenia,wskaźniki, listy'!$C$48,IF(N179="gaz",Q179*'Założenia,wskaźniki, listy'!$D$48,IF(N179="drewno",Q179*'Założenia,wskaźniki, listy'!$E$48,IF(N179="pelet",Q179*'Założenia,wskaźniki, listy'!$G$48,IF(N179="olej opałowy",Q179*'Założenia,wskaźniki, listy'!$G$48,IF(N179="sieć ciepłownicza",0,IF(N179="prąd",0,0)))))))</f>
        <v>0</v>
      </c>
      <c r="AF179" s="639">
        <f>IF(N179="węgiel",Q179*'Założenia,wskaźniki, listy'!$C$49,IF(N179="gaz",Q179*'Założenia,wskaźniki, listy'!$D$49,IF(N179="drewno",Q179*'Założenia,wskaźniki, listy'!$E$49,IF(N179="pelet",Q179*'Założenia,wskaźniki, listy'!$G$49,IF(N179="olej opałowy",Q179*'Założenia,wskaźniki, listy'!$G$49,IF(N179="sieć ciepłownicza",0,IF(N179="prąd",0,0)))))))</f>
        <v>0</v>
      </c>
      <c r="AG179" s="639">
        <f>IF(N179="węgiel",Q179*'Założenia,wskaźniki, listy'!$C$50,IF(N179="gaz",Q179*'Założenia,wskaźniki, listy'!$D$50,IF(N179="drewno",Q179*'Założenia,wskaźniki, listy'!$E$50,IF(N179="pelet",Q179*'Założenia,wskaźniki, listy'!$G$50,IF(N179="olej opałowy",Q179*'Założenia,wskaźniki, listy'!$G$50,IF(N179="sieć ciepłownicza",0,IF(N179="prąd",0,0)))))))</f>
        <v>0</v>
      </c>
      <c r="AH179" s="640">
        <f>IF(L179="węgiel",(P179+R179)/2*'Założenia,wskaźniki, listy'!$C$4,IF(L179="gaz",(P179+R179)/2*'Założenia,wskaźniki, listy'!$C$5,IF(L179="drewno",(P179+R179)/2*'Założenia,wskaźniki, listy'!$C$6,IF(L179="pelet",(P179+R179)/2*'Założenia,wskaźniki, listy'!$C$7,IF(L179="olej opałowy",(P179+R179)/2*'Założenia,wskaźniki, listy'!$C$8,IF(L179="sieć ciepłownicza",(P179+R179)/2*'Założenia,wskaźniki, listy'!$C$9,IF(L179="sieć ciepłownicza",(P179+R179)/2*'Założenia,wskaźniki, listy'!$C$10,)))))))</f>
        <v>2888.6549999999997</v>
      </c>
      <c r="AI179" s="640">
        <f>IF(N179="węgiel",Q179*'Założenia,wskaźniki, listy'!$C$4,IF(N179="gaz",Q179*'Założenia,wskaźniki, listy'!$C$5,IF(N179="drewno",Q179*'Założenia,wskaźniki, listy'!$C$6,IF(N179="pelet",Q179*'Założenia,wskaźniki, listy'!$C$7,IF(N179="olej opałowy",Q179*'Założenia,wskaźniki, listy'!$C$8,IF(N179="sieć ciepłownicza",Q179*'Założenia,wskaźniki, listy'!$C$9,IF(N179="sieć ciepłownicza",Q179*'Założenia,wskaźniki, listy'!$C$10,0)))))))</f>
        <v>0</v>
      </c>
      <c r="AJ179" s="640">
        <f>S179*'Założenia,wskaźniki, listy'!$B$64*1000</f>
        <v>1281.4080000000001</v>
      </c>
      <c r="AK179" s="640">
        <f>(H179+I179)*'Założenia,wskaźniki, listy'!$D$64*12</f>
        <v>0</v>
      </c>
      <c r="AL179" s="640">
        <f>AK179*'Założenia,wskaźniki, listy'!$F$64</f>
        <v>0</v>
      </c>
      <c r="AM179" s="639">
        <f t="shared" si="206"/>
        <v>1.5261749999999999E-2</v>
      </c>
      <c r="AN179" s="639">
        <f t="shared" si="207"/>
        <v>1.363383E-2</v>
      </c>
      <c r="AO179" s="639">
        <f>V179+AC179+S179*'Założenia,wskaźniki, listy'!$J$46</f>
        <v>7.8590753999999992</v>
      </c>
      <c r="AP179" s="639">
        <f t="shared" si="208"/>
        <v>1.8314100000000001E-5</v>
      </c>
      <c r="AQ179" s="639">
        <f t="shared" si="209"/>
        <v>6.1046999999999997E-2</v>
      </c>
      <c r="AR179" s="639">
        <f t="shared" si="210"/>
        <v>1.071714E-2</v>
      </c>
      <c r="AS179" s="639">
        <f t="shared" si="211"/>
        <v>0.13644836835046936</v>
      </c>
      <c r="AT179" s="647"/>
      <c r="AU179" s="647"/>
      <c r="AV179" s="624">
        <f t="shared" si="241"/>
        <v>70</v>
      </c>
      <c r="AW179" s="624" t="b">
        <f t="shared" si="242"/>
        <v>0</v>
      </c>
      <c r="AX179" s="624" t="b">
        <f t="shared" si="243"/>
        <v>0</v>
      </c>
      <c r="AY179" s="624" t="b">
        <f t="shared" si="244"/>
        <v>0</v>
      </c>
      <c r="AZ179" s="624" t="b">
        <f t="shared" si="245"/>
        <v>0</v>
      </c>
      <c r="BA179" s="624" t="b">
        <f t="shared" si="246"/>
        <v>0</v>
      </c>
      <c r="BB179" s="624" t="b">
        <f t="shared" si="247"/>
        <v>0</v>
      </c>
      <c r="BC179" s="624" t="b">
        <f t="shared" si="248"/>
        <v>0</v>
      </c>
      <c r="BD179" s="624" t="b">
        <f t="shared" si="249"/>
        <v>0</v>
      </c>
      <c r="BE179" s="624" t="b">
        <f t="shared" si="250"/>
        <v>0</v>
      </c>
      <c r="BF179" s="624">
        <f t="shared" si="251"/>
        <v>67.83</v>
      </c>
      <c r="BG179" s="624" t="b">
        <f t="shared" si="252"/>
        <v>0</v>
      </c>
      <c r="BH179" s="624" t="b">
        <f t="shared" si="253"/>
        <v>0</v>
      </c>
      <c r="BI179" s="624" t="b">
        <f t="shared" si="254"/>
        <v>0</v>
      </c>
      <c r="BJ179" s="624" t="b">
        <f t="shared" si="255"/>
        <v>0</v>
      </c>
      <c r="BK179" s="624" t="b">
        <f t="shared" si="256"/>
        <v>0</v>
      </c>
      <c r="BL179" s="624" t="b">
        <f t="shared" si="257"/>
        <v>0</v>
      </c>
      <c r="BM179" s="624" t="b">
        <f t="shared" si="258"/>
        <v>0</v>
      </c>
      <c r="BN179" s="624" t="b">
        <f t="shared" si="259"/>
        <v>0</v>
      </c>
      <c r="BO179" s="624" t="b">
        <f t="shared" si="260"/>
        <v>0</v>
      </c>
      <c r="BP179" s="624" t="b">
        <f t="shared" si="261"/>
        <v>0</v>
      </c>
      <c r="BQ179" s="624" t="b">
        <f t="shared" si="262"/>
        <v>0</v>
      </c>
    </row>
    <row r="180" spans="1:69" ht="8.25" customHeight="1">
      <c r="A180" s="1087"/>
      <c r="B180" s="872"/>
      <c r="C180" s="872"/>
      <c r="D180" s="645"/>
      <c r="E180" s="645"/>
      <c r="F180" s="644"/>
      <c r="G180" s="644"/>
      <c r="H180" s="644"/>
      <c r="I180" s="635"/>
      <c r="J180" s="644">
        <f>IF(F180&lt;=1966,'Założenia,wskaźniki, listy'!$H$4,IF(F180&gt;1966,IF(F180&lt;=1985,'Założenia,wskaźniki, listy'!$H$5,IF(F180&gt;1985,IF(F180&lt;=1992,'Założenia,wskaźniki, listy'!$H$6,IF(F180&gt;1992,IF(F180&lt;=1996,'Założenia,wskaźniki, listy'!$H$7,IF(F180&gt;1996,IF(F180&lt;=2015,'Założenia,wskaźniki, listy'!$H$8)))))))))</f>
        <v>290</v>
      </c>
      <c r="K180" s="872"/>
      <c r="L180" s="644"/>
      <c r="M180" s="644"/>
      <c r="N180" s="644"/>
      <c r="O180" s="637">
        <f t="shared" si="240"/>
        <v>0</v>
      </c>
      <c r="P180" s="646">
        <f>IF(K180="kompletna",J180*G180*0.0036*'Założenia,wskaźniki, listy'!$P$9,IF(K180="częściowa",J180*G180*0.0036*'Założenia,wskaźniki, listy'!$P$10,IF(K180="brak",J180*G180*0.0036*'Założenia,wskaźniki, listy'!$P$11,0)))</f>
        <v>0</v>
      </c>
      <c r="Q180" s="638">
        <f>H180*'Założenia,wskaźniki, listy'!$L$15</f>
        <v>0</v>
      </c>
      <c r="R180" s="635">
        <f>IF(L180="węgiel",'Mieszkalne - baza'!M180*'Założenia,wskaźniki, listy'!$B$4,IF(L180="gaz",'Mieszkalne - baza'!M180*'Założenia,wskaźniki, listy'!$B$5,IF(L180="drewno",'Mieszkalne - baza'!M180*'Założenia,wskaźniki, listy'!$B$6,IF(L180="pelet",'Mieszkalne - baza'!M180*'Założenia,wskaźniki, listy'!$B$7,IF(L180="olej opałowy",'Mieszkalne - baza'!M180*'Założenia,wskaźniki, listy'!$B$8,IF(L180="sieć ciepłownicza",0,0))))))</f>
        <v>0</v>
      </c>
      <c r="S180" s="1085"/>
      <c r="T180" s="639">
        <f>IF(L180="węgiel",R180*'Założenia,wskaźniki, listy'!$C$44,IF(L180="gaz",R180*'Założenia,wskaźniki, listy'!$D$44,IF(L180="drewno",R180*'Założenia,wskaźniki, listy'!$E$44,IF(L180="pelet",R180*'Założenia,wskaźniki, listy'!$F$44,IF(L180="olej opałowy",R180*'Założenia,wskaźniki, listy'!$G$44,IF(L180="sieć ciepłownicza",0,IF(L180="prąd",0,0)))))))</f>
        <v>0</v>
      </c>
      <c r="U180" s="639">
        <f>IF(L180="węgiel",R180*'Założenia,wskaźniki, listy'!$C$45,IF(L180="gaz",R180*'Założenia,wskaźniki, listy'!$D$45,IF(L180="drewno",R180*'Założenia,wskaźniki, listy'!$E$45,IF(L180="pelet",R180*'Założenia,wskaźniki, listy'!$F$45,IF(L180="olej opałowy",R180*'Założenia,wskaźniki, listy'!$G$45,IF(L180="sieć ciepłownicza",0,IF(L180="prąd",0,0)))))))</f>
        <v>0</v>
      </c>
      <c r="V180" s="639">
        <f>IF(L180="węgiel",R180*'Założenia,wskaźniki, listy'!$C$46,IF(L180="gaz",R180*'Założenia,wskaźniki, listy'!$D$46,IF(L180="drewno",R180*'Założenia,wskaźniki, listy'!$E$46,IF(L180="pelet",R180*'Założenia,wskaźniki, listy'!$F$46,IF(L180="olej opałowy",R180*'Założenia,wskaźniki, listy'!$G$46,IF(L180="sieć ciepłownicza",R180*'Założenia,wskaźniki, listy'!$H$46,IF(L180="prąd",R180*'Założenia,wskaźniki, listy'!$I$46,0)))))))</f>
        <v>0</v>
      </c>
      <c r="W180" s="639">
        <f>IF(L180="węgiel",R180*'Założenia,wskaźniki, listy'!$C$47,IF(L180="gaz",R180*'Założenia,wskaźniki, listy'!$D$47,IF(L180="drewno",R180*'Założenia,wskaźniki, listy'!$E$47,IF(L180="pelet",R180*'Założenia,wskaźniki, listy'!$F$47,IF(L180="olej opałowy",R180*'Założenia,wskaźniki, listy'!$G$47,IF(L180="sieć ciepłownicza",0,IF(L180="prąd",0,0)))))))</f>
        <v>0</v>
      </c>
      <c r="X180" s="639">
        <f>IF(L180="węgiel",R180*'Założenia,wskaźniki, listy'!$C$48, IF(L180="gaz",R180*'Założenia,wskaźniki, listy'!$D$48,IF(L180="drewno",R180*'Założenia,wskaźniki, listy'!$E$48,IF(L180="pelet",R180*'Założenia,wskaźniki, listy'!$F$48,IF(L180="olej opałowy",R180*'Założenia,wskaźniki, listy'!$G$48,IF(L180="sieć ciepłownicza",0,IF(L180="prąd",0,0)))))))</f>
        <v>0</v>
      </c>
      <c r="Y180" s="639">
        <f>IF(L180="węgiel",R180*'Założenia,wskaźniki, listy'!$C$49, IF(L180="gaz",R180*'Założenia,wskaźniki, listy'!$D$49, IF(L180="drewno",R180*'Założenia,wskaźniki, listy'!$E$49,IF(L180="pelet",R180*'Założenia,wskaźniki, listy'!$F$49,IF(L180="olej opałowy",R180*'Założenia,wskaźniki, listy'!$G$49,IF(L180="sieć ciepłownicza",0,IF(L180="prąd",0,0)))))))</f>
        <v>0</v>
      </c>
      <c r="Z180" s="639">
        <f>IF(L180="węgiel",R180*'Założenia,wskaźniki, listy'!$C$50,IF(L180="gaz",R180*'Założenia,wskaźniki, listy'!$D$50, IF(L180="drewno",R180*'Założenia,wskaźniki, listy'!$E$50,IF(L180="pelet",R180*'Założenia,wskaźniki, listy'!$F$50,IF(L180="pelet",R180*'Założenia,wskaźniki, listy'!$F$50,IF(L180="olej opałowy",R180*'Założenia,wskaźniki, listy'!$G$50,IF(L180="sieć ciepłownicza",0,IF(L180="prąd",0,0))))))))</f>
        <v>0</v>
      </c>
      <c r="AA180" s="639">
        <f>IF(N180="węgiel",Q180*'Założenia,wskaźniki, listy'!$C$44,IF(N180="gaz",Q180*'Założenia,wskaźniki, listy'!$D$44,IF(N180="drewno",Q180*'Założenia,wskaźniki, listy'!$E$44,IF(N180="pelet",Q180*'Założenia,wskaźniki, listy'!$G$44,IF(N180="olej opałowy",Q180*'Założenia,wskaźniki, listy'!$G$44,IF(N180="sieć ciepłownicza",0,IF(N180="prąd",0,0)))))))</f>
        <v>0</v>
      </c>
      <c r="AB180" s="639">
        <f>IF(N180="węgiel",Q180*'Założenia,wskaźniki, listy'!$C$45,IF(N180="gaz",Q180*'Założenia,wskaźniki, listy'!$D$45,IF(N180="drewno",Q180*'Założenia,wskaźniki, listy'!$E$45,IF(N180="pelet",Q180*'Założenia,wskaźniki, listy'!$G$45,IF(N180="olej opałowy",Q180*'Założenia,wskaźniki, listy'!$G$45,IF(N180="sieć ciepłownicza",0,IF(N180="prąd",0,0)))))))</f>
        <v>0</v>
      </c>
      <c r="AC180" s="639">
        <f>IF(N180="węgiel",Q180*'Założenia,wskaźniki, listy'!$C$46,IF(N180="gaz",Q180*'Założenia,wskaźniki, listy'!$D$46,IF(N180="drewno",Q180*'Założenia,wskaźniki, listy'!$E$46,IF(N180="pelet",Q180*'Założenia,wskaźniki, listy'!$G$46,IF(N180="olej opałowy",Q180*'Założenia,wskaźniki, listy'!$G$46,IF(N180="sieć ciepłownicza",0,IF(N180="prąd",0,0)))))))</f>
        <v>0</v>
      </c>
      <c r="AD180" s="639">
        <f>IF(N180="węgiel",Q180*'Założenia,wskaźniki, listy'!$C$47,IF(N180="gaz",Q180*'Założenia,wskaźniki, listy'!$D$47,IF(N180="drewno",Q180*'Założenia,wskaźniki, listy'!$E$47,IF(N180="pelet",Q180*'Założenia,wskaźniki, listy'!$G$47,IF(N180="olej opałowy",Q180*'Założenia,wskaźniki, listy'!$G$47,IF(N180="sieć ciepłownicza",0,IF(N180="prąd",0,0)))))))</f>
        <v>0</v>
      </c>
      <c r="AE180" s="639">
        <f>IF(N180="węgiel",Q180*'Założenia,wskaźniki, listy'!$C$48,IF(N180="gaz",Q180*'Założenia,wskaźniki, listy'!$D$48,IF(N180="drewno",Q180*'Założenia,wskaźniki, listy'!$E$48,IF(N180="pelet",Q180*'Założenia,wskaźniki, listy'!$G$48,IF(N180="olej opałowy",Q180*'Założenia,wskaźniki, listy'!$G$48,IF(N180="sieć ciepłownicza",0,IF(N180="prąd",0,0)))))))</f>
        <v>0</v>
      </c>
      <c r="AF180" s="639">
        <f>IF(N180="węgiel",Q180*'Założenia,wskaźniki, listy'!$C$49,IF(N180="gaz",Q180*'Założenia,wskaźniki, listy'!$D$49,IF(N180="drewno",Q180*'Założenia,wskaźniki, listy'!$E$49,IF(N180="pelet",Q180*'Założenia,wskaźniki, listy'!$G$49,IF(N180="olej opałowy",Q180*'Założenia,wskaźniki, listy'!$G$49,IF(N180="sieć ciepłownicza",0,IF(N180="prąd",0,0)))))))</f>
        <v>0</v>
      </c>
      <c r="AG180" s="639">
        <f>IF(N180="węgiel",Q180*'Założenia,wskaźniki, listy'!$C$50,IF(N180="gaz",Q180*'Założenia,wskaźniki, listy'!$D$50,IF(N180="drewno",Q180*'Założenia,wskaźniki, listy'!$E$50,IF(N180="pelet",Q180*'Założenia,wskaźniki, listy'!$G$50,IF(N180="olej opałowy",Q180*'Założenia,wskaźniki, listy'!$G$50,IF(N180="sieć ciepłownicza",0,IF(N180="prąd",0,0)))))))</f>
        <v>0</v>
      </c>
      <c r="AH180" s="640">
        <f>IF(L180="węgiel",(P180+R180)/2*'Założenia,wskaźniki, listy'!$C$4,IF(L180="gaz",(P180+R180)/2*'Założenia,wskaźniki, listy'!$C$5,IF(L180="drewno",(P180+R180)/2*'Założenia,wskaźniki, listy'!$C$6,IF(L180="pelet",(P180+R180)/2*'Założenia,wskaźniki, listy'!$C$7,IF(L180="olej opałowy",(P180+R180)/2*'Założenia,wskaźniki, listy'!$C$8,IF(L180="sieć ciepłownicza",(P180+R180)/2*'Założenia,wskaźniki, listy'!$C$9,IF(L180="sieć ciepłownicza",(P180+R180)/2*'Założenia,wskaźniki, listy'!$C$10,)))))))</f>
        <v>0</v>
      </c>
      <c r="AI180" s="640">
        <f>IF(N180="węgiel",Q180*'Założenia,wskaźniki, listy'!$C$4,IF(N180="gaz",Q180*'Założenia,wskaźniki, listy'!$C$5,IF(N180="drewno",Q180*'Założenia,wskaźniki, listy'!$C$6,IF(N180="pelet",Q180*'Założenia,wskaźniki, listy'!$C$7,IF(N180="olej opałowy",Q180*'Założenia,wskaźniki, listy'!$C$8,IF(N180="sieć ciepłownicza",Q180*'Założenia,wskaźniki, listy'!$C$9,IF(N180="sieć ciepłownicza",Q180*'Założenia,wskaźniki, listy'!$C$10,0)))))))</f>
        <v>0</v>
      </c>
      <c r="AJ180" s="640">
        <f>S180*'Założenia,wskaźniki, listy'!$B$64*1000</f>
        <v>0</v>
      </c>
      <c r="AK180" s="640">
        <f>(H180+I180)*'Założenia,wskaźniki, listy'!$D$64*12</f>
        <v>0</v>
      </c>
      <c r="AL180" s="640">
        <f>AK180*'Założenia,wskaźniki, listy'!$F$64</f>
        <v>0</v>
      </c>
      <c r="AM180" s="639">
        <f t="shared" si="206"/>
        <v>0</v>
      </c>
      <c r="AN180" s="639">
        <f t="shared" si="207"/>
        <v>0</v>
      </c>
      <c r="AO180" s="639">
        <f>V180+AC180+S180*'Założenia,wskaźniki, listy'!$J$46</f>
        <v>0</v>
      </c>
      <c r="AP180" s="639">
        <f t="shared" si="208"/>
        <v>0</v>
      </c>
      <c r="AQ180" s="639">
        <f t="shared" si="209"/>
        <v>0</v>
      </c>
      <c r="AR180" s="639">
        <f t="shared" si="210"/>
        <v>0</v>
      </c>
      <c r="AS180" s="639">
        <f t="shared" si="211"/>
        <v>0</v>
      </c>
      <c r="AT180" s="647"/>
      <c r="AU180" s="647"/>
      <c r="AV180" s="624">
        <f t="shared" si="241"/>
        <v>0</v>
      </c>
      <c r="AW180" s="624" t="b">
        <f t="shared" si="242"/>
        <v>0</v>
      </c>
      <c r="AX180" s="624" t="b">
        <f t="shared" si="243"/>
        <v>0</v>
      </c>
      <c r="AY180" s="624" t="b">
        <f t="shared" si="244"/>
        <v>0</v>
      </c>
      <c r="AZ180" s="624" t="b">
        <f t="shared" si="245"/>
        <v>0</v>
      </c>
      <c r="BA180" s="624" t="b">
        <f t="shared" si="246"/>
        <v>0</v>
      </c>
      <c r="BB180" s="624" t="b">
        <f t="shared" si="247"/>
        <v>0</v>
      </c>
      <c r="BC180" s="624" t="b">
        <f t="shared" si="248"/>
        <v>0</v>
      </c>
      <c r="BD180" s="624" t="b">
        <f t="shared" si="249"/>
        <v>0</v>
      </c>
      <c r="BE180" s="624" t="b">
        <f t="shared" si="250"/>
        <v>0</v>
      </c>
      <c r="BF180" s="624" t="b">
        <f t="shared" si="251"/>
        <v>0</v>
      </c>
      <c r="BG180" s="624" t="b">
        <f t="shared" si="252"/>
        <v>0</v>
      </c>
      <c r="BH180" s="624" t="b">
        <f t="shared" si="253"/>
        <v>0</v>
      </c>
      <c r="BI180" s="624" t="b">
        <f t="shared" si="254"/>
        <v>0</v>
      </c>
      <c r="BJ180" s="624" t="b">
        <f t="shared" si="255"/>
        <v>0</v>
      </c>
      <c r="BK180" s="624" t="b">
        <f t="shared" si="256"/>
        <v>0</v>
      </c>
      <c r="BL180" s="624" t="b">
        <f t="shared" si="257"/>
        <v>0</v>
      </c>
      <c r="BM180" s="624" t="b">
        <f t="shared" si="258"/>
        <v>0</v>
      </c>
      <c r="BN180" s="624" t="b">
        <f t="shared" si="259"/>
        <v>0</v>
      </c>
      <c r="BO180" s="624" t="b">
        <f t="shared" si="260"/>
        <v>0</v>
      </c>
      <c r="BP180" s="624" t="b">
        <f t="shared" si="261"/>
        <v>0</v>
      </c>
      <c r="BQ180" s="624" t="b">
        <f t="shared" si="262"/>
        <v>0</v>
      </c>
    </row>
    <row r="181" spans="1:69" ht="8.25" customHeight="1">
      <c r="A181" s="1086">
        <v>89</v>
      </c>
      <c r="B181" s="872" t="s">
        <v>21</v>
      </c>
      <c r="C181" s="873" t="s">
        <v>634</v>
      </c>
      <c r="D181" s="645"/>
      <c r="E181" s="645">
        <v>47</v>
      </c>
      <c r="F181" s="644">
        <v>1985</v>
      </c>
      <c r="G181" s="644">
        <v>160</v>
      </c>
      <c r="H181" s="644"/>
      <c r="I181" s="635"/>
      <c r="J181" s="644">
        <f>IF(F181&lt;=1966,'Założenia,wskaźniki, listy'!$H$4,IF(F181&gt;1966,IF(F181&lt;=1985,'Założenia,wskaźniki, listy'!$H$5,IF(F181&gt;1985,IF(F181&lt;=1992,'Założenia,wskaźniki, listy'!$H$6,IF(F181&gt;1992,IF(F181&lt;=1996,'Założenia,wskaźniki, listy'!$H$7,IF(F181&gt;1996,IF(F181&lt;=2015,'Założenia,wskaźniki, listy'!$H$8)))))))))</f>
        <v>250</v>
      </c>
      <c r="K181" s="864" t="s">
        <v>31</v>
      </c>
      <c r="L181" s="644" t="s">
        <v>8</v>
      </c>
      <c r="M181" s="644">
        <v>5</v>
      </c>
      <c r="N181" s="644"/>
      <c r="O181" s="637">
        <f t="shared" si="240"/>
        <v>128.52500000000001</v>
      </c>
      <c r="P181" s="646">
        <f>IF(K181="kompletna",J181*G181*0.0036*'Założenia,wskaźniki, listy'!$P$9,IF(K181="częściowa",J181*G181*0.0036*'Założenia,wskaźniki, listy'!$P$10,IF(K181="brak",J181*G181*0.0036*'Założenia,wskaźniki, listy'!$P$11,0)))</f>
        <v>144</v>
      </c>
      <c r="Q181" s="638">
        <f>H181*'Założenia,wskaźniki, listy'!$L$15</f>
        <v>0</v>
      </c>
      <c r="R181" s="635">
        <f>IF(L181="węgiel",'Mieszkalne - baza'!M181*'Założenia,wskaźniki, listy'!$B$4,IF(L181="gaz",'Mieszkalne - baza'!M181*'Założenia,wskaźniki, listy'!$B$5,IF(L181="drewno",'Mieszkalne - baza'!M181*'Założenia,wskaźniki, listy'!$B$6,IF(L181="pelet",'Mieszkalne - baza'!M181*'Założenia,wskaźniki, listy'!$B$7,IF(L181="olej opałowy",'Mieszkalne - baza'!M181*'Założenia,wskaźniki, listy'!$B$8,IF(L181="sieć ciepłownicza",0,0))))))</f>
        <v>113.05</v>
      </c>
      <c r="S181" s="1084">
        <v>1.6919999999999999</v>
      </c>
      <c r="T181" s="639">
        <f>IF(L181="węgiel",R181*'Założenia,wskaźniki, listy'!$C$44,IF(L181="gaz",R181*'Założenia,wskaźniki, listy'!$D$44,IF(L181="drewno",R181*'Założenia,wskaźniki, listy'!$E$44,IF(L181="pelet",R181*'Założenia,wskaźniki, listy'!$F$44,IF(L181="olej opałowy",R181*'Założenia,wskaźniki, listy'!$G$44,IF(L181="sieć ciepłownicza",0,IF(L181="prąd",0,0)))))))</f>
        <v>2.5436249999999997E-2</v>
      </c>
      <c r="U181" s="639">
        <f>IF(L181="węgiel",R181*'Założenia,wskaźniki, listy'!$C$45,IF(L181="gaz",R181*'Założenia,wskaźniki, listy'!$D$45,IF(L181="drewno",R181*'Założenia,wskaźniki, listy'!$E$45,IF(L181="pelet",R181*'Założenia,wskaźniki, listy'!$F$45,IF(L181="olej opałowy",R181*'Założenia,wskaźniki, listy'!$G$45,IF(L181="sieć ciepłownicza",0,IF(L181="prąd",0,0)))))))</f>
        <v>2.2723050000000002E-2</v>
      </c>
      <c r="V181" s="639">
        <f>IF(L181="węgiel",R181*'Założenia,wskaźniki, listy'!$C$46,IF(L181="gaz",R181*'Założenia,wskaźniki, listy'!$D$46,IF(L181="drewno",R181*'Założenia,wskaźniki, listy'!$E$46,IF(L181="pelet",R181*'Założenia,wskaźniki, listy'!$F$46,IF(L181="olej opałowy",R181*'Założenia,wskaźniki, listy'!$G$46,IF(L181="sieć ciepłownicza",R181*'Założenia,wskaźniki, listy'!$H$46,IF(L181="prąd",R181*'Założenia,wskaźniki, listy'!$I$46,0)))))))</f>
        <v>10.597306999999999</v>
      </c>
      <c r="W181" s="639">
        <f>IF(L181="węgiel",R181*'Założenia,wskaźniki, listy'!$C$47,IF(L181="gaz",R181*'Założenia,wskaźniki, listy'!$D$47,IF(L181="drewno",R181*'Założenia,wskaźniki, listy'!$E$47,IF(L181="pelet",R181*'Założenia,wskaźniki, listy'!$F$47,IF(L181="olej opałowy",R181*'Założenia,wskaźniki, listy'!$G$47,IF(L181="sieć ciepłownicza",0,IF(L181="prąd",0,0)))))))</f>
        <v>3.05235E-5</v>
      </c>
      <c r="X181" s="639">
        <f>IF(L181="węgiel",R181*'Założenia,wskaźniki, listy'!$C$48, IF(L181="gaz",R181*'Założenia,wskaźniki, listy'!$D$48,IF(L181="drewno",R181*'Założenia,wskaźniki, listy'!$E$48,IF(L181="pelet",R181*'Założenia,wskaźniki, listy'!$F$48,IF(L181="olej opałowy",R181*'Założenia,wskaźniki, listy'!$G$48,IF(L181="sieć ciepłownicza",0,IF(L181="prąd",0,0)))))))</f>
        <v>0.10174499999999999</v>
      </c>
      <c r="Y181" s="639">
        <f>IF(L181="węgiel",R181*'Założenia,wskaźniki, listy'!$C$49, IF(L181="gaz",R181*'Założenia,wskaźniki, listy'!$D$49, IF(L181="drewno",R181*'Założenia,wskaźniki, listy'!$E$49,IF(L181="pelet",R181*'Założenia,wskaźniki, listy'!$F$49,IF(L181="olej opałowy",R181*'Założenia,wskaźniki, listy'!$G$49,IF(L181="sieć ciepłownicza",0,IF(L181="prąd",0,0)))))))</f>
        <v>1.78619E-2</v>
      </c>
      <c r="Z181" s="639">
        <f>IF(L181="węgiel",R181*'Założenia,wskaźniki, listy'!$C$50,IF(L181="gaz",R181*'Założenia,wskaźniki, listy'!$D$50, IF(L181="drewno",R181*'Założenia,wskaźniki, listy'!$E$50,IF(L181="pelet",R181*'Założenia,wskaźniki, listy'!$F$50,IF(L181="pelet",R181*'Założenia,wskaźniki, listy'!$F$50,IF(L181="olej opałowy",R181*'Założenia,wskaźniki, listy'!$G$50,IF(L181="sieć ciepłownicza",0,IF(L181="prąd",0,0))))))))</f>
        <v>0.22741394725078226</v>
      </c>
      <c r="AA181" s="639">
        <f>IF(N181="węgiel",Q181*'Założenia,wskaźniki, listy'!$C$44,IF(N181="gaz",Q181*'Założenia,wskaźniki, listy'!$D$44,IF(N181="drewno",Q181*'Założenia,wskaźniki, listy'!$E$44,IF(N181="pelet",Q181*'Założenia,wskaźniki, listy'!$G$44,IF(N181="olej opałowy",Q181*'Założenia,wskaźniki, listy'!$G$44,IF(N181="sieć ciepłownicza",0,IF(N181="prąd",0,0)))))))</f>
        <v>0</v>
      </c>
      <c r="AB181" s="639">
        <f>IF(N181="węgiel",Q181*'Założenia,wskaźniki, listy'!$C$45,IF(N181="gaz",Q181*'Założenia,wskaźniki, listy'!$D$45,IF(N181="drewno",Q181*'Założenia,wskaźniki, listy'!$E$45,IF(N181="pelet",Q181*'Założenia,wskaźniki, listy'!$G$45,IF(N181="olej opałowy",Q181*'Założenia,wskaźniki, listy'!$G$45,IF(N181="sieć ciepłownicza",0,IF(N181="prąd",0,0)))))))</f>
        <v>0</v>
      </c>
      <c r="AC181" s="639">
        <f>IF(N181="węgiel",Q181*'Założenia,wskaźniki, listy'!$C$46,IF(N181="gaz",Q181*'Założenia,wskaźniki, listy'!$D$46,IF(N181="drewno",Q181*'Założenia,wskaźniki, listy'!$E$46,IF(N181="pelet",Q181*'Założenia,wskaźniki, listy'!$G$46,IF(N181="olej opałowy",Q181*'Założenia,wskaźniki, listy'!$G$46,IF(N181="sieć ciepłownicza",0,IF(N181="prąd",0,0)))))))</f>
        <v>0</v>
      </c>
      <c r="AD181" s="639">
        <f>IF(N181="węgiel",Q181*'Założenia,wskaźniki, listy'!$C$47,IF(N181="gaz",Q181*'Założenia,wskaźniki, listy'!$D$47,IF(N181="drewno",Q181*'Założenia,wskaźniki, listy'!$E$47,IF(N181="pelet",Q181*'Założenia,wskaźniki, listy'!$G$47,IF(N181="olej opałowy",Q181*'Założenia,wskaźniki, listy'!$G$47,IF(N181="sieć ciepłownicza",0,IF(N181="prąd",0,0)))))))</f>
        <v>0</v>
      </c>
      <c r="AE181" s="639">
        <f>IF(N181="węgiel",Q181*'Założenia,wskaźniki, listy'!$C$48,IF(N181="gaz",Q181*'Założenia,wskaźniki, listy'!$D$48,IF(N181="drewno",Q181*'Założenia,wskaźniki, listy'!$E$48,IF(N181="pelet",Q181*'Założenia,wskaźniki, listy'!$G$48,IF(N181="olej opałowy",Q181*'Założenia,wskaźniki, listy'!$G$48,IF(N181="sieć ciepłownicza",0,IF(N181="prąd",0,0)))))))</f>
        <v>0</v>
      </c>
      <c r="AF181" s="639">
        <f>IF(N181="węgiel",Q181*'Założenia,wskaźniki, listy'!$C$49,IF(N181="gaz",Q181*'Założenia,wskaźniki, listy'!$D$49,IF(N181="drewno",Q181*'Założenia,wskaźniki, listy'!$E$49,IF(N181="pelet",Q181*'Założenia,wskaźniki, listy'!$G$49,IF(N181="olej opałowy",Q181*'Założenia,wskaźniki, listy'!$G$49,IF(N181="sieć ciepłownicza",0,IF(N181="prąd",0,0)))))))</f>
        <v>0</v>
      </c>
      <c r="AG181" s="639">
        <f>IF(N181="węgiel",Q181*'Założenia,wskaźniki, listy'!$C$50,IF(N181="gaz",Q181*'Założenia,wskaźniki, listy'!$D$50,IF(N181="drewno",Q181*'Założenia,wskaźniki, listy'!$E$50,IF(N181="pelet",Q181*'Założenia,wskaźniki, listy'!$G$50,IF(N181="olej opałowy",Q181*'Założenia,wskaźniki, listy'!$G$50,IF(N181="sieć ciepłownicza",0,IF(N181="prąd",0,0)))))))</f>
        <v>0</v>
      </c>
      <c r="AH181" s="640">
        <f>IF(L181="węgiel",(P181+R181)/2*'Założenia,wskaźniki, listy'!$C$4,IF(L181="gaz",(P181+R181)/2*'Założenia,wskaźniki, listy'!$C$5,IF(L181="drewno",(P181+R181)/2*'Założenia,wskaźniki, listy'!$C$6,IF(L181="pelet",(P181+R181)/2*'Założenia,wskaźniki, listy'!$C$7,IF(L181="olej opałowy",(P181+R181)/2*'Założenia,wskaźniki, listy'!$C$8,IF(L181="sieć ciepłownicza",(P181+R181)/2*'Założenia,wskaźniki, listy'!$C$9,IF(L181="sieć ciepłownicza",(P181+R181)/2*'Założenia,wskaźniki, listy'!$C$10,)))))))</f>
        <v>5269.5250000000005</v>
      </c>
      <c r="AI181" s="640">
        <f>IF(N181="węgiel",Q181*'Założenia,wskaźniki, listy'!$C$4,IF(N181="gaz",Q181*'Założenia,wskaźniki, listy'!$C$5,IF(N181="drewno",Q181*'Założenia,wskaźniki, listy'!$C$6,IF(N181="pelet",Q181*'Założenia,wskaźniki, listy'!$C$7,IF(N181="olej opałowy",Q181*'Założenia,wskaźniki, listy'!$C$8,IF(N181="sieć ciepłownicza",Q181*'Założenia,wskaźniki, listy'!$C$9,IF(N181="sieć ciepłownicza",Q181*'Założenia,wskaźniki, listy'!$C$10,0)))))))</f>
        <v>0</v>
      </c>
      <c r="AJ181" s="640">
        <f>S181*'Założenia,wskaźniki, listy'!$B$64*1000</f>
        <v>1201.32</v>
      </c>
      <c r="AK181" s="640">
        <f>(H181+I181)*'Założenia,wskaźniki, listy'!$D$64*12</f>
        <v>0</v>
      </c>
      <c r="AL181" s="640">
        <f>AK181*'Założenia,wskaźniki, listy'!$F$64</f>
        <v>0</v>
      </c>
      <c r="AM181" s="639">
        <f t="shared" si="206"/>
        <v>2.5436249999999997E-2</v>
      </c>
      <c r="AN181" s="639">
        <f t="shared" si="207"/>
        <v>2.2723050000000002E-2</v>
      </c>
      <c r="AO181" s="639">
        <f>V181+AC181+S181*'Założenia,wskaźniki, listy'!$J$46</f>
        <v>12.004204999999999</v>
      </c>
      <c r="AP181" s="639">
        <f t="shared" si="208"/>
        <v>3.05235E-5</v>
      </c>
      <c r="AQ181" s="639">
        <f t="shared" si="209"/>
        <v>0.10174499999999999</v>
      </c>
      <c r="AR181" s="639">
        <f t="shared" si="210"/>
        <v>1.78619E-2</v>
      </c>
      <c r="AS181" s="639">
        <f t="shared" si="211"/>
        <v>0.22741394725078226</v>
      </c>
      <c r="AT181" s="647"/>
      <c r="AU181" s="647"/>
      <c r="AV181" s="624" t="b">
        <f t="shared" si="241"/>
        <v>0</v>
      </c>
      <c r="AW181" s="624" t="b">
        <f t="shared" si="242"/>
        <v>0</v>
      </c>
      <c r="AX181" s="624">
        <f t="shared" si="243"/>
        <v>160</v>
      </c>
      <c r="AY181" s="624" t="b">
        <f t="shared" si="244"/>
        <v>0</v>
      </c>
      <c r="AZ181" s="624" t="b">
        <f t="shared" si="245"/>
        <v>0</v>
      </c>
      <c r="BA181" s="624" t="b">
        <f t="shared" si="246"/>
        <v>0</v>
      </c>
      <c r="BB181" s="624" t="b">
        <f t="shared" si="247"/>
        <v>0</v>
      </c>
      <c r="BC181" s="624" t="b">
        <f t="shared" si="248"/>
        <v>0</v>
      </c>
      <c r="BD181" s="624" t="b">
        <f t="shared" si="249"/>
        <v>0</v>
      </c>
      <c r="BE181" s="624" t="b">
        <f t="shared" si="250"/>
        <v>0</v>
      </c>
      <c r="BF181" s="624">
        <f t="shared" si="251"/>
        <v>113.05</v>
      </c>
      <c r="BG181" s="624" t="b">
        <f t="shared" si="252"/>
        <v>0</v>
      </c>
      <c r="BH181" s="624" t="b">
        <f t="shared" si="253"/>
        <v>0</v>
      </c>
      <c r="BI181" s="624" t="b">
        <f t="shared" si="254"/>
        <v>0</v>
      </c>
      <c r="BJ181" s="624" t="b">
        <f t="shared" si="255"/>
        <v>0</v>
      </c>
      <c r="BK181" s="624" t="b">
        <f t="shared" si="256"/>
        <v>0</v>
      </c>
      <c r="BL181" s="624" t="b">
        <f t="shared" si="257"/>
        <v>0</v>
      </c>
      <c r="BM181" s="624" t="b">
        <f t="shared" si="258"/>
        <v>0</v>
      </c>
      <c r="BN181" s="624" t="b">
        <f t="shared" si="259"/>
        <v>0</v>
      </c>
      <c r="BO181" s="624" t="b">
        <f t="shared" si="260"/>
        <v>0</v>
      </c>
      <c r="BP181" s="624" t="b">
        <f t="shared" si="261"/>
        <v>0</v>
      </c>
      <c r="BQ181" s="624" t="b">
        <f t="shared" si="262"/>
        <v>0</v>
      </c>
    </row>
    <row r="182" spans="1:69" ht="8.25" customHeight="1">
      <c r="A182" s="1087"/>
      <c r="B182" s="872"/>
      <c r="C182" s="872"/>
      <c r="D182" s="645"/>
      <c r="E182" s="645"/>
      <c r="F182" s="644"/>
      <c r="G182" s="644"/>
      <c r="H182" s="644"/>
      <c r="I182" s="635"/>
      <c r="J182" s="644">
        <f>IF(F182&lt;=1966,'Założenia,wskaźniki, listy'!$H$4,IF(F182&gt;1966,IF(F182&lt;=1985,'Założenia,wskaźniki, listy'!$H$5,IF(F182&gt;1985,IF(F182&lt;=1992,'Założenia,wskaźniki, listy'!$H$6,IF(F182&gt;1992,IF(F182&lt;=1996,'Założenia,wskaźniki, listy'!$H$7,IF(F182&gt;1996,IF(F182&lt;=2015,'Założenia,wskaźniki, listy'!$H$8)))))))))</f>
        <v>290</v>
      </c>
      <c r="K182" s="864"/>
      <c r="L182" s="644"/>
      <c r="M182" s="644"/>
      <c r="N182" s="644"/>
      <c r="O182" s="637">
        <f t="shared" si="240"/>
        <v>0</v>
      </c>
      <c r="P182" s="646">
        <f>IF(K182="kompletna",J182*G182*0.0036*'Założenia,wskaźniki, listy'!$P$9,IF(K182="częściowa",J182*G182*0.0036*'Założenia,wskaźniki, listy'!$P$10,IF(K182="brak",J182*G182*0.0036*'Założenia,wskaźniki, listy'!$P$11,0)))</f>
        <v>0</v>
      </c>
      <c r="Q182" s="638">
        <f>H182*'Założenia,wskaźniki, listy'!$L$15</f>
        <v>0</v>
      </c>
      <c r="R182" s="635">
        <f>IF(L182="węgiel",'Mieszkalne - baza'!M182*'Założenia,wskaźniki, listy'!$B$4,IF(L182="gaz",'Mieszkalne - baza'!M182*'Założenia,wskaźniki, listy'!$B$5,IF(L182="drewno",'Mieszkalne - baza'!M182*'Założenia,wskaźniki, listy'!$B$6,IF(L182="pelet",'Mieszkalne - baza'!M182*'Założenia,wskaźniki, listy'!$B$7,IF(L182="olej opałowy",'Mieszkalne - baza'!M182*'Założenia,wskaźniki, listy'!$B$8,IF(L182="sieć ciepłownicza",0,0))))))</f>
        <v>0</v>
      </c>
      <c r="S182" s="1085"/>
      <c r="T182" s="639">
        <f>IF(L182="węgiel",R182*'Założenia,wskaźniki, listy'!$C$44,IF(L182="gaz",R182*'Założenia,wskaźniki, listy'!$D$44,IF(L182="drewno",R182*'Założenia,wskaźniki, listy'!$E$44,IF(L182="pelet",R182*'Założenia,wskaźniki, listy'!$F$44,IF(L182="olej opałowy",R182*'Założenia,wskaźniki, listy'!$G$44,IF(L182="sieć ciepłownicza",0,IF(L182="prąd",0,0)))))))</f>
        <v>0</v>
      </c>
      <c r="U182" s="639">
        <f>IF(L182="węgiel",R182*'Założenia,wskaźniki, listy'!$C$45,IF(L182="gaz",R182*'Założenia,wskaźniki, listy'!$D$45,IF(L182="drewno",R182*'Założenia,wskaźniki, listy'!$E$45,IF(L182="pelet",R182*'Założenia,wskaźniki, listy'!$F$45,IF(L182="olej opałowy",R182*'Założenia,wskaźniki, listy'!$G$45,IF(L182="sieć ciepłownicza",0,IF(L182="prąd",0,0)))))))</f>
        <v>0</v>
      </c>
      <c r="V182" s="639">
        <f>IF(L182="węgiel",R182*'Założenia,wskaźniki, listy'!$C$46,IF(L182="gaz",R182*'Założenia,wskaźniki, listy'!$D$46,IF(L182="drewno",R182*'Założenia,wskaźniki, listy'!$E$46,IF(L182="pelet",R182*'Założenia,wskaźniki, listy'!$F$46,IF(L182="olej opałowy",R182*'Założenia,wskaźniki, listy'!$G$46,IF(L182="sieć ciepłownicza",R182*'Założenia,wskaźniki, listy'!$H$46,IF(L182="prąd",R182*'Założenia,wskaźniki, listy'!$I$46,0)))))))</f>
        <v>0</v>
      </c>
      <c r="W182" s="639">
        <f>IF(L182="węgiel",R182*'Założenia,wskaźniki, listy'!$C$47,IF(L182="gaz",R182*'Założenia,wskaźniki, listy'!$D$47,IF(L182="drewno",R182*'Założenia,wskaźniki, listy'!$E$47,IF(L182="pelet",R182*'Założenia,wskaźniki, listy'!$F$47,IF(L182="olej opałowy",R182*'Założenia,wskaźniki, listy'!$G$47,IF(L182="sieć ciepłownicza",0,IF(L182="prąd",0,0)))))))</f>
        <v>0</v>
      </c>
      <c r="X182" s="639">
        <f>IF(L182="węgiel",R182*'Założenia,wskaźniki, listy'!$C$48, IF(L182="gaz",R182*'Założenia,wskaźniki, listy'!$D$48,IF(L182="drewno",R182*'Założenia,wskaźniki, listy'!$E$48,IF(L182="pelet",R182*'Założenia,wskaźniki, listy'!$F$48,IF(L182="olej opałowy",R182*'Założenia,wskaźniki, listy'!$G$48,IF(L182="sieć ciepłownicza",0,IF(L182="prąd",0,0)))))))</f>
        <v>0</v>
      </c>
      <c r="Y182" s="639">
        <f>IF(L182="węgiel",R182*'Założenia,wskaźniki, listy'!$C$49, IF(L182="gaz",R182*'Założenia,wskaźniki, listy'!$D$49, IF(L182="drewno",R182*'Założenia,wskaźniki, listy'!$E$49,IF(L182="pelet",R182*'Założenia,wskaźniki, listy'!$F$49,IF(L182="olej opałowy",R182*'Założenia,wskaźniki, listy'!$G$49,IF(L182="sieć ciepłownicza",0,IF(L182="prąd",0,0)))))))</f>
        <v>0</v>
      </c>
      <c r="Z182" s="639">
        <f>IF(L182="węgiel",R182*'Założenia,wskaźniki, listy'!$C$50,IF(L182="gaz",R182*'Założenia,wskaźniki, listy'!$D$50, IF(L182="drewno",R182*'Założenia,wskaźniki, listy'!$E$50,IF(L182="pelet",R182*'Założenia,wskaźniki, listy'!$F$50,IF(L182="pelet",R182*'Założenia,wskaźniki, listy'!$F$50,IF(L182="olej opałowy",R182*'Założenia,wskaźniki, listy'!$G$50,IF(L182="sieć ciepłownicza",0,IF(L182="prąd",0,0))))))))</f>
        <v>0</v>
      </c>
      <c r="AA182" s="639">
        <f>IF(N182="węgiel",Q182*'Założenia,wskaźniki, listy'!$C$44,IF(N182="gaz",Q182*'Założenia,wskaźniki, listy'!$D$44,IF(N182="drewno",Q182*'Założenia,wskaźniki, listy'!$E$44,IF(N182="pelet",Q182*'Założenia,wskaźniki, listy'!$G$44,IF(N182="olej opałowy",Q182*'Założenia,wskaźniki, listy'!$G$44,IF(N182="sieć ciepłownicza",0,IF(N182="prąd",0,0)))))))</f>
        <v>0</v>
      </c>
      <c r="AB182" s="639">
        <f>IF(N182="węgiel",Q182*'Założenia,wskaźniki, listy'!$C$45,IF(N182="gaz",Q182*'Założenia,wskaźniki, listy'!$D$45,IF(N182="drewno",Q182*'Założenia,wskaźniki, listy'!$E$45,IF(N182="pelet",Q182*'Założenia,wskaźniki, listy'!$G$45,IF(N182="olej opałowy",Q182*'Założenia,wskaźniki, listy'!$G$45,IF(N182="sieć ciepłownicza",0,IF(N182="prąd",0,0)))))))</f>
        <v>0</v>
      </c>
      <c r="AC182" s="639">
        <f>IF(N182="węgiel",Q182*'Założenia,wskaźniki, listy'!$C$46,IF(N182="gaz",Q182*'Założenia,wskaźniki, listy'!$D$46,IF(N182="drewno",Q182*'Założenia,wskaźniki, listy'!$E$46,IF(N182="pelet",Q182*'Założenia,wskaźniki, listy'!$G$46,IF(N182="olej opałowy",Q182*'Założenia,wskaźniki, listy'!$G$46,IF(N182="sieć ciepłownicza",0,IF(N182="prąd",0,0)))))))</f>
        <v>0</v>
      </c>
      <c r="AD182" s="639">
        <f>IF(N182="węgiel",Q182*'Założenia,wskaźniki, listy'!$C$47,IF(N182="gaz",Q182*'Założenia,wskaźniki, listy'!$D$47,IF(N182="drewno",Q182*'Założenia,wskaźniki, listy'!$E$47,IF(N182="pelet",Q182*'Założenia,wskaźniki, listy'!$G$47,IF(N182="olej opałowy",Q182*'Założenia,wskaźniki, listy'!$G$47,IF(N182="sieć ciepłownicza",0,IF(N182="prąd",0,0)))))))</f>
        <v>0</v>
      </c>
      <c r="AE182" s="639">
        <f>IF(N182="węgiel",Q182*'Założenia,wskaźniki, listy'!$C$48,IF(N182="gaz",Q182*'Założenia,wskaźniki, listy'!$D$48,IF(N182="drewno",Q182*'Założenia,wskaźniki, listy'!$E$48,IF(N182="pelet",Q182*'Założenia,wskaźniki, listy'!$G$48,IF(N182="olej opałowy",Q182*'Założenia,wskaźniki, listy'!$G$48,IF(N182="sieć ciepłownicza",0,IF(N182="prąd",0,0)))))))</f>
        <v>0</v>
      </c>
      <c r="AF182" s="639">
        <f>IF(N182="węgiel",Q182*'Założenia,wskaźniki, listy'!$C$49,IF(N182="gaz",Q182*'Założenia,wskaźniki, listy'!$D$49,IF(N182="drewno",Q182*'Założenia,wskaźniki, listy'!$E$49,IF(N182="pelet",Q182*'Założenia,wskaźniki, listy'!$G$49,IF(N182="olej opałowy",Q182*'Założenia,wskaźniki, listy'!$G$49,IF(N182="sieć ciepłownicza",0,IF(N182="prąd",0,0)))))))</f>
        <v>0</v>
      </c>
      <c r="AG182" s="639">
        <f>IF(N182="węgiel",Q182*'Założenia,wskaźniki, listy'!$C$50,IF(N182="gaz",Q182*'Założenia,wskaźniki, listy'!$D$50,IF(N182="drewno",Q182*'Założenia,wskaźniki, listy'!$E$50,IF(N182="pelet",Q182*'Założenia,wskaźniki, listy'!$G$50,IF(N182="olej opałowy",Q182*'Założenia,wskaźniki, listy'!$G$50,IF(N182="sieć ciepłownicza",0,IF(N182="prąd",0,0)))))))</f>
        <v>0</v>
      </c>
      <c r="AH182" s="640">
        <f>IF(L182="węgiel",(P182+R182)/2*'Założenia,wskaźniki, listy'!$C$4,IF(L182="gaz",(P182+R182)/2*'Założenia,wskaźniki, listy'!$C$5,IF(L182="drewno",(P182+R182)/2*'Założenia,wskaźniki, listy'!$C$6,IF(L182="pelet",(P182+R182)/2*'Założenia,wskaźniki, listy'!$C$7,IF(L182="olej opałowy",(P182+R182)/2*'Założenia,wskaźniki, listy'!$C$8,IF(L182="sieć ciepłownicza",(P182+R182)/2*'Założenia,wskaźniki, listy'!$C$9,IF(L182="sieć ciepłownicza",(P182+R182)/2*'Założenia,wskaźniki, listy'!$C$10,)))))))</f>
        <v>0</v>
      </c>
      <c r="AI182" s="640">
        <f>IF(N182="węgiel",Q182*'Założenia,wskaźniki, listy'!$C$4,IF(N182="gaz",Q182*'Założenia,wskaźniki, listy'!$C$5,IF(N182="drewno",Q182*'Założenia,wskaźniki, listy'!$C$6,IF(N182="pelet",Q182*'Założenia,wskaźniki, listy'!$C$7,IF(N182="olej opałowy",Q182*'Założenia,wskaźniki, listy'!$C$8,IF(N182="sieć ciepłownicza",Q182*'Założenia,wskaźniki, listy'!$C$9,IF(N182="sieć ciepłownicza",Q182*'Założenia,wskaźniki, listy'!$C$10,0)))))))</f>
        <v>0</v>
      </c>
      <c r="AJ182" s="640">
        <f>S182*'Założenia,wskaźniki, listy'!$B$64*1000</f>
        <v>0</v>
      </c>
      <c r="AK182" s="640">
        <f>(H182+I182)*'Założenia,wskaźniki, listy'!$D$64*12</f>
        <v>0</v>
      </c>
      <c r="AL182" s="640">
        <f>AK182*'Założenia,wskaźniki, listy'!$F$64</f>
        <v>0</v>
      </c>
      <c r="AM182" s="639">
        <f t="shared" si="206"/>
        <v>0</v>
      </c>
      <c r="AN182" s="639">
        <f t="shared" si="207"/>
        <v>0</v>
      </c>
      <c r="AO182" s="639">
        <f>V182+AC182+S182*'Założenia,wskaźniki, listy'!$J$46</f>
        <v>0</v>
      </c>
      <c r="AP182" s="639">
        <f t="shared" si="208"/>
        <v>0</v>
      </c>
      <c r="AQ182" s="639">
        <f t="shared" si="209"/>
        <v>0</v>
      </c>
      <c r="AR182" s="639">
        <f t="shared" si="210"/>
        <v>0</v>
      </c>
      <c r="AS182" s="639">
        <f t="shared" si="211"/>
        <v>0</v>
      </c>
      <c r="AT182" s="647"/>
      <c r="AU182" s="647"/>
      <c r="AV182" s="624">
        <f t="shared" si="241"/>
        <v>0</v>
      </c>
      <c r="AW182" s="624" t="b">
        <f t="shared" si="242"/>
        <v>0</v>
      </c>
      <c r="AX182" s="624" t="b">
        <f t="shared" si="243"/>
        <v>0</v>
      </c>
      <c r="AY182" s="624" t="b">
        <f t="shared" si="244"/>
        <v>0</v>
      </c>
      <c r="AZ182" s="624" t="b">
        <f t="shared" si="245"/>
        <v>0</v>
      </c>
      <c r="BA182" s="624" t="b">
        <f t="shared" si="246"/>
        <v>0</v>
      </c>
      <c r="BB182" s="624" t="b">
        <f t="shared" si="247"/>
        <v>0</v>
      </c>
      <c r="BC182" s="624" t="b">
        <f t="shared" si="248"/>
        <v>0</v>
      </c>
      <c r="BD182" s="624" t="b">
        <f t="shared" si="249"/>
        <v>0</v>
      </c>
      <c r="BE182" s="624" t="b">
        <f t="shared" si="250"/>
        <v>0</v>
      </c>
      <c r="BF182" s="624" t="b">
        <f t="shared" si="251"/>
        <v>0</v>
      </c>
      <c r="BG182" s="624" t="b">
        <f t="shared" si="252"/>
        <v>0</v>
      </c>
      <c r="BH182" s="624" t="b">
        <f t="shared" si="253"/>
        <v>0</v>
      </c>
      <c r="BI182" s="624" t="b">
        <f t="shared" si="254"/>
        <v>0</v>
      </c>
      <c r="BJ182" s="624" t="b">
        <f t="shared" si="255"/>
        <v>0</v>
      </c>
      <c r="BK182" s="624" t="b">
        <f t="shared" si="256"/>
        <v>0</v>
      </c>
      <c r="BL182" s="624" t="b">
        <f t="shared" si="257"/>
        <v>0</v>
      </c>
      <c r="BM182" s="624" t="b">
        <f t="shared" si="258"/>
        <v>0</v>
      </c>
      <c r="BN182" s="624" t="b">
        <f t="shared" si="259"/>
        <v>0</v>
      </c>
      <c r="BO182" s="624" t="b">
        <f t="shared" si="260"/>
        <v>0</v>
      </c>
      <c r="BP182" s="624" t="b">
        <f t="shared" si="261"/>
        <v>0</v>
      </c>
      <c r="BQ182" s="624" t="b">
        <f t="shared" si="262"/>
        <v>0</v>
      </c>
    </row>
    <row r="183" spans="1:69" ht="8.25" customHeight="1">
      <c r="A183" s="1086">
        <v>90</v>
      </c>
      <c r="B183" s="872" t="s">
        <v>21</v>
      </c>
      <c r="C183" s="873" t="s">
        <v>634</v>
      </c>
      <c r="D183" s="645"/>
      <c r="E183" s="645">
        <v>48</v>
      </c>
      <c r="F183" s="644">
        <v>1970</v>
      </c>
      <c r="G183" s="635">
        <v>170</v>
      </c>
      <c r="H183" s="644"/>
      <c r="I183" s="635"/>
      <c r="J183" s="644">
        <f>IF(F183&lt;=1966,'Założenia,wskaźniki, listy'!$H$4,IF(F183&gt;1966,IF(F183&lt;=1985,'Założenia,wskaźniki, listy'!$H$5,IF(F183&gt;1985,IF(F183&lt;=1992,'Założenia,wskaźniki, listy'!$H$6,IF(F183&gt;1992,IF(F183&lt;=1996,'Założenia,wskaźniki, listy'!$H$7,IF(F183&gt;1996,IF(F183&lt;=2015,'Założenia,wskaźniki, listy'!$H$8)))))))))</f>
        <v>250</v>
      </c>
      <c r="K183" s="864" t="s">
        <v>32</v>
      </c>
      <c r="L183" s="644" t="s">
        <v>79</v>
      </c>
      <c r="M183" s="644">
        <v>3</v>
      </c>
      <c r="N183" s="644"/>
      <c r="O183" s="637">
        <f t="shared" si="240"/>
        <v>68.400000000000006</v>
      </c>
      <c r="P183" s="646">
        <f>IF(K183="kompletna",J183*G183*0.0036*'Założenia,wskaźniki, listy'!$P$9,IF(K183="częściowa",J183*G183*0.0036*'Założenia,wskaźniki, listy'!$P$10,IF(K183="brak",J183*G183*0.0036*'Założenia,wskaźniki, listy'!$P$11,0)))</f>
        <v>91.8</v>
      </c>
      <c r="Q183" s="638">
        <f>H183*'Założenia,wskaźniki, listy'!$L$15</f>
        <v>0</v>
      </c>
      <c r="R183" s="635">
        <f>IF(L183="węgiel",'Mieszkalne - baza'!M183*'Założenia,wskaźniki, listy'!$B$4,IF(L183="gaz",'Mieszkalne - baza'!M183*'Założenia,wskaźniki, listy'!$B$5,IF(L183="drewno",'Mieszkalne - baza'!M183*'Założenia,wskaźniki, listy'!$B$6,IF(L183="pelet",'Mieszkalne - baza'!M183*'Założenia,wskaźniki, listy'!$B$7,IF(L183="olej opałowy",'Mieszkalne - baza'!M183*'Założenia,wskaźniki, listy'!$B$8,IF(L183="sieć ciepłownicza",0,0))))))</f>
        <v>45</v>
      </c>
      <c r="S183" s="1084">
        <v>2.0304000000000002</v>
      </c>
      <c r="T183" s="639">
        <f>IF(L183="węgiel",R183*'Założenia,wskaźniki, listy'!$C$44,IF(L183="gaz",R183*'Założenia,wskaźniki, listy'!$D$44,IF(L183="drewno",R183*'Założenia,wskaźniki, listy'!$E$44,IF(L183="pelet",R183*'Założenia,wskaźniki, listy'!$F$44,IF(L183="olej opałowy",R183*'Założenia,wskaźniki, listy'!$G$44,IF(L183="sieć ciepłownicza",0,IF(L183="prąd",0,0)))))))</f>
        <v>2.1600000000000001E-2</v>
      </c>
      <c r="U183" s="639">
        <f>IF(L183="węgiel",R183*'Założenia,wskaźniki, listy'!$C$45,IF(L183="gaz",R183*'Założenia,wskaźniki, listy'!$D$45,IF(L183="drewno",R183*'Założenia,wskaźniki, listy'!$E$45,IF(L183="pelet",R183*'Założenia,wskaźniki, listy'!$F$45,IF(L183="olej opałowy",R183*'Założenia,wskaźniki, listy'!$G$45,IF(L183="sieć ciepłownicza",0,IF(L183="prąd",0,0)))))))</f>
        <v>2.1149999999999999E-2</v>
      </c>
      <c r="V183" s="639">
        <f>IF(L183="węgiel",R183*'Założenia,wskaźniki, listy'!$C$46,IF(L183="gaz",R183*'Założenia,wskaźniki, listy'!$D$46,IF(L183="drewno",R183*'Założenia,wskaźniki, listy'!$E$46,IF(L183="pelet",R183*'Założenia,wskaźniki, listy'!$F$46,IF(L183="olej opałowy",R183*'Założenia,wskaźniki, listy'!$G$46,IF(L183="sieć ciepłownicza",R183*'Założenia,wskaźniki, listy'!$H$46,IF(L183="prąd",R183*'Założenia,wskaźniki, listy'!$I$46,0)))))))</f>
        <v>0</v>
      </c>
      <c r="W183" s="639">
        <f>IF(L183="węgiel",R183*'Założenia,wskaźniki, listy'!$C$47,IF(L183="gaz",R183*'Założenia,wskaźniki, listy'!$D$47,IF(L183="drewno",R183*'Założenia,wskaźniki, listy'!$E$47,IF(L183="pelet",R183*'Założenia,wskaźniki, listy'!$F$47,IF(L183="olej opałowy",R183*'Założenia,wskaźniki, listy'!$G$47,IF(L183="sieć ciepłownicza",0,IF(L183="prąd",0,0)))))))</f>
        <v>5.4450000000000004E-6</v>
      </c>
      <c r="X183" s="639">
        <f>IF(L183="węgiel",R183*'Założenia,wskaźniki, listy'!$C$48, IF(L183="gaz",R183*'Założenia,wskaźniki, listy'!$D$48,IF(L183="drewno",R183*'Założenia,wskaźniki, listy'!$E$48,IF(L183="pelet",R183*'Założenia,wskaźniki, listy'!$F$48,IF(L183="olej opałowy",R183*'Założenia,wskaźniki, listy'!$G$48,IF(L183="sieć ciepłownicza",0,IF(L183="prąd",0,0)))))))</f>
        <v>4.95E-4</v>
      </c>
      <c r="Y183" s="639">
        <f>IF(L183="węgiel",R183*'Założenia,wskaźniki, listy'!$C$49, IF(L183="gaz",R183*'Założenia,wskaźniki, listy'!$D$49, IF(L183="drewno",R183*'Założenia,wskaźniki, listy'!$E$49,IF(L183="pelet",R183*'Założenia,wskaźniki, listy'!$F$49,IF(L183="olej opałowy",R183*'Założenia,wskaźniki, listy'!$G$49,IF(L183="sieć ciepłownicza",0,IF(L183="prąd",0,0)))))))</f>
        <v>3.6000000000000003E-3</v>
      </c>
      <c r="Z183" s="639">
        <f>IF(L183="węgiel",R183*'Założenia,wskaźniki, listy'!$C$50,IF(L183="gaz",R183*'Założenia,wskaźniki, listy'!$D$50, IF(L183="drewno",R183*'Założenia,wskaźniki, listy'!$E$50,IF(L183="pelet",R183*'Założenia,wskaźniki, listy'!$F$50,IF(L183="pelet",R183*'Założenia,wskaźniki, listy'!$F$50,IF(L183="olej opałowy",R183*'Założenia,wskaźniki, listy'!$G$50,IF(L183="sieć ciepłownicza",0,IF(L183="prąd",0,0))))))))</f>
        <v>8.0730000000000003E-3</v>
      </c>
      <c r="AA183" s="639">
        <f>IF(N183="węgiel",Q183*'Założenia,wskaźniki, listy'!$C$44,IF(N183="gaz",Q183*'Założenia,wskaźniki, listy'!$D$44,IF(N183="drewno",Q183*'Założenia,wskaźniki, listy'!$E$44,IF(N183="pelet",Q183*'Założenia,wskaźniki, listy'!$G$44,IF(N183="olej opałowy",Q183*'Założenia,wskaźniki, listy'!$G$44,IF(N183="sieć ciepłownicza",0,IF(N183="prąd",0,0)))))))</f>
        <v>0</v>
      </c>
      <c r="AB183" s="639">
        <f>IF(N183="węgiel",Q183*'Założenia,wskaźniki, listy'!$C$45,IF(N183="gaz",Q183*'Założenia,wskaźniki, listy'!$D$45,IF(N183="drewno",Q183*'Założenia,wskaźniki, listy'!$E$45,IF(N183="pelet",Q183*'Założenia,wskaźniki, listy'!$G$45,IF(N183="olej opałowy",Q183*'Założenia,wskaźniki, listy'!$G$45,IF(N183="sieć ciepłownicza",0,IF(N183="prąd",0,0)))))))</f>
        <v>0</v>
      </c>
      <c r="AC183" s="639">
        <f>IF(N183="węgiel",Q183*'Założenia,wskaźniki, listy'!$C$46,IF(N183="gaz",Q183*'Założenia,wskaźniki, listy'!$D$46,IF(N183="drewno",Q183*'Założenia,wskaźniki, listy'!$E$46,IF(N183="pelet",Q183*'Założenia,wskaźniki, listy'!$G$46,IF(N183="olej opałowy",Q183*'Założenia,wskaźniki, listy'!$G$46,IF(N183="sieć ciepłownicza",0,IF(N183="prąd",0,0)))))))</f>
        <v>0</v>
      </c>
      <c r="AD183" s="639">
        <f>IF(N183="węgiel",Q183*'Założenia,wskaźniki, listy'!$C$47,IF(N183="gaz",Q183*'Założenia,wskaźniki, listy'!$D$47,IF(N183="drewno",Q183*'Założenia,wskaźniki, listy'!$E$47,IF(N183="pelet",Q183*'Założenia,wskaźniki, listy'!$G$47,IF(N183="olej opałowy",Q183*'Założenia,wskaźniki, listy'!$G$47,IF(N183="sieć ciepłownicza",0,IF(N183="prąd",0,0)))))))</f>
        <v>0</v>
      </c>
      <c r="AE183" s="639">
        <f>IF(N183="węgiel",Q183*'Założenia,wskaźniki, listy'!$C$48,IF(N183="gaz",Q183*'Założenia,wskaźniki, listy'!$D$48,IF(N183="drewno",Q183*'Założenia,wskaźniki, listy'!$E$48,IF(N183="pelet",Q183*'Założenia,wskaźniki, listy'!$G$48,IF(N183="olej opałowy",Q183*'Założenia,wskaźniki, listy'!$G$48,IF(N183="sieć ciepłownicza",0,IF(N183="prąd",0,0)))))))</f>
        <v>0</v>
      </c>
      <c r="AF183" s="639">
        <f>IF(N183="węgiel",Q183*'Założenia,wskaźniki, listy'!$C$49,IF(N183="gaz",Q183*'Założenia,wskaźniki, listy'!$D$49,IF(N183="drewno",Q183*'Założenia,wskaźniki, listy'!$E$49,IF(N183="pelet",Q183*'Założenia,wskaźniki, listy'!$G$49,IF(N183="olej opałowy",Q183*'Założenia,wskaźniki, listy'!$G$49,IF(N183="sieć ciepłownicza",0,IF(N183="prąd",0,0)))))))</f>
        <v>0</v>
      </c>
      <c r="AG183" s="639">
        <f>IF(N183="węgiel",Q183*'Założenia,wskaźniki, listy'!$C$50,IF(N183="gaz",Q183*'Założenia,wskaźniki, listy'!$D$50,IF(N183="drewno",Q183*'Założenia,wskaźniki, listy'!$E$50,IF(N183="pelet",Q183*'Założenia,wskaźniki, listy'!$G$50,IF(N183="olej opałowy",Q183*'Założenia,wskaźniki, listy'!$G$50,IF(N183="sieć ciepłownicza",0,IF(N183="prąd",0,0)))))))</f>
        <v>0</v>
      </c>
      <c r="AH183" s="640">
        <f>IF(L183="węgiel",(P183+R183)/2*'Założenia,wskaźniki, listy'!$C$4,IF(L183="gaz",(P183+R183)/2*'Założenia,wskaźniki, listy'!$C$5,IF(L183="drewno",(P183+R183)/2*'Założenia,wskaźniki, listy'!$C$6,IF(L183="pelet",(P183+R183)/2*'Założenia,wskaźniki, listy'!$C$7,IF(L183="olej opałowy",(P183+R183)/2*'Założenia,wskaźniki, listy'!$C$8,IF(L183="sieć ciepłownicza",(P183+R183)/2*'Założenia,wskaźniki, listy'!$C$9,IF(L183="sieć ciepłownicza",(P183+R183)/2*'Założenia,wskaźniki, listy'!$C$10,)))))))</f>
        <v>2599.2000000000003</v>
      </c>
      <c r="AI183" s="640">
        <f>IF(N183="węgiel",Q183*'Założenia,wskaźniki, listy'!$C$4,IF(N183="gaz",Q183*'Założenia,wskaźniki, listy'!$C$5,IF(N183="drewno",Q183*'Założenia,wskaźniki, listy'!$C$6,IF(N183="pelet",Q183*'Założenia,wskaźniki, listy'!$C$7,IF(N183="olej opałowy",Q183*'Założenia,wskaźniki, listy'!$C$8,IF(N183="sieć ciepłownicza",Q183*'Założenia,wskaźniki, listy'!$C$9,IF(N183="sieć ciepłownicza",Q183*'Założenia,wskaźniki, listy'!$C$10,0)))))))</f>
        <v>0</v>
      </c>
      <c r="AJ183" s="640">
        <f>S183*'Założenia,wskaźniki, listy'!$B$64*1000</f>
        <v>1441.5840000000001</v>
      </c>
      <c r="AK183" s="640">
        <f>(H183+I183)*'Założenia,wskaźniki, listy'!$D$64*12</f>
        <v>0</v>
      </c>
      <c r="AL183" s="640">
        <f>AK183*'Założenia,wskaźniki, listy'!$F$64</f>
        <v>0</v>
      </c>
      <c r="AM183" s="639">
        <f t="shared" si="206"/>
        <v>2.1600000000000001E-2</v>
      </c>
      <c r="AN183" s="639">
        <f t="shared" si="207"/>
        <v>2.1149999999999999E-2</v>
      </c>
      <c r="AO183" s="639">
        <f>V183+AC183+S183*'Założenia,wskaźniki, listy'!$J$46</f>
        <v>1.6882776000000002</v>
      </c>
      <c r="AP183" s="639">
        <f t="shared" si="208"/>
        <v>5.4450000000000004E-6</v>
      </c>
      <c r="AQ183" s="639">
        <f t="shared" si="209"/>
        <v>4.95E-4</v>
      </c>
      <c r="AR183" s="639">
        <f t="shared" si="210"/>
        <v>3.6000000000000003E-3</v>
      </c>
      <c r="AS183" s="639">
        <f t="shared" si="211"/>
        <v>8.0730000000000003E-3</v>
      </c>
      <c r="AT183" s="647"/>
      <c r="AU183" s="647"/>
      <c r="AV183" s="624" t="b">
        <f t="shared" si="241"/>
        <v>0</v>
      </c>
      <c r="AW183" s="624" t="b">
        <f t="shared" si="242"/>
        <v>0</v>
      </c>
      <c r="AX183" s="624">
        <f t="shared" si="243"/>
        <v>170</v>
      </c>
      <c r="AY183" s="624">
        <f t="shared" si="244"/>
        <v>170</v>
      </c>
      <c r="AZ183" s="624" t="b">
        <f t="shared" si="245"/>
        <v>0</v>
      </c>
      <c r="BA183" s="624" t="b">
        <f t="shared" si="246"/>
        <v>0</v>
      </c>
      <c r="BB183" s="624" t="b">
        <f t="shared" si="247"/>
        <v>0</v>
      </c>
      <c r="BC183" s="624" t="b">
        <f t="shared" si="248"/>
        <v>0</v>
      </c>
      <c r="BD183" s="624" t="b">
        <f t="shared" si="249"/>
        <v>0</v>
      </c>
      <c r="BE183" s="624" t="b">
        <f t="shared" si="250"/>
        <v>0</v>
      </c>
      <c r="BF183" s="624" t="b">
        <f t="shared" si="251"/>
        <v>0</v>
      </c>
      <c r="BG183" s="624" t="b">
        <f t="shared" si="252"/>
        <v>0</v>
      </c>
      <c r="BH183" s="624">
        <f t="shared" si="253"/>
        <v>45</v>
      </c>
      <c r="BI183" s="624" t="b">
        <f t="shared" si="254"/>
        <v>0</v>
      </c>
      <c r="BJ183" s="624" t="b">
        <f t="shared" si="255"/>
        <v>0</v>
      </c>
      <c r="BK183" s="624" t="b">
        <f t="shared" si="256"/>
        <v>0</v>
      </c>
      <c r="BL183" s="624" t="b">
        <f t="shared" si="257"/>
        <v>0</v>
      </c>
      <c r="BM183" s="624" t="b">
        <f t="shared" si="258"/>
        <v>0</v>
      </c>
      <c r="BN183" s="624" t="b">
        <f t="shared" si="259"/>
        <v>0</v>
      </c>
      <c r="BO183" s="624" t="b">
        <f t="shared" si="260"/>
        <v>0</v>
      </c>
      <c r="BP183" s="624" t="b">
        <f t="shared" si="261"/>
        <v>0</v>
      </c>
      <c r="BQ183" s="624" t="b">
        <f t="shared" si="262"/>
        <v>0</v>
      </c>
    </row>
    <row r="184" spans="1:69" ht="8.25" customHeight="1">
      <c r="A184" s="1086"/>
      <c r="B184" s="872"/>
      <c r="C184" s="872"/>
      <c r="D184" s="645"/>
      <c r="E184" s="645"/>
      <c r="F184" s="644"/>
      <c r="G184" s="644"/>
      <c r="H184" s="644"/>
      <c r="I184" s="635"/>
      <c r="J184" s="644">
        <f>IF(F184&lt;=1966,'Założenia,wskaźniki, listy'!$H$4,IF(F184&gt;1966,IF(F184&lt;=1985,'Założenia,wskaźniki, listy'!$H$5,IF(F184&gt;1985,IF(F184&lt;=1992,'Założenia,wskaźniki, listy'!$H$6,IF(F184&gt;1992,IF(F184&lt;=1996,'Założenia,wskaźniki, listy'!$H$7,IF(F184&gt;1996,IF(F184&lt;=2015,'Założenia,wskaźniki, listy'!$H$8)))))))))</f>
        <v>290</v>
      </c>
      <c r="K184" s="864"/>
      <c r="L184" s="644" t="s">
        <v>8</v>
      </c>
      <c r="M184" s="644">
        <v>1.5</v>
      </c>
      <c r="N184" s="644"/>
      <c r="O184" s="637">
        <f t="shared" ref="O184" si="340">IF(P184&gt;0,(Q184+R184+P184)/2,Q184+R184)</f>
        <v>33.914999999999999</v>
      </c>
      <c r="P184" s="646">
        <f>IF(K184="kompletna",J184*G184*0.0036*'Założenia,wskaźniki, listy'!$P$9,IF(K184="częściowa",J184*G184*0.0036*'Założenia,wskaźniki, listy'!$P$10,IF(K184="brak",J184*G184*0.0036*'Założenia,wskaźniki, listy'!$P$11,0)))</f>
        <v>0</v>
      </c>
      <c r="Q184" s="638">
        <f>H184*'Założenia,wskaźniki, listy'!$L$15</f>
        <v>0</v>
      </c>
      <c r="R184" s="635">
        <f>IF(L184="węgiel",'Mieszkalne - baza'!M184*'Założenia,wskaźniki, listy'!$B$4,IF(L184="gaz",'Mieszkalne - baza'!M184*'Założenia,wskaźniki, listy'!$B$5,IF(L184="drewno",'Mieszkalne - baza'!M184*'Założenia,wskaźniki, listy'!$B$6,IF(L184="pelet",'Mieszkalne - baza'!M184*'Założenia,wskaźniki, listy'!$B$7,IF(L184="olej opałowy",'Mieszkalne - baza'!M184*'Założenia,wskaźniki, listy'!$B$8,IF(L184="sieć ciepłownicza",0,0))))))</f>
        <v>33.914999999999999</v>
      </c>
      <c r="S184" s="1085"/>
      <c r="T184" s="639">
        <f>IF(L184="węgiel",R184*'Założenia,wskaźniki, listy'!$C$44,IF(L184="gaz",R184*'Założenia,wskaźniki, listy'!$D$44,IF(L184="drewno",R184*'Założenia,wskaźniki, listy'!$E$44,IF(L184="pelet",R184*'Założenia,wskaźniki, listy'!$F$44,IF(L184="olej opałowy",R184*'Założenia,wskaźniki, listy'!$G$44,IF(L184="sieć ciepłownicza",0,IF(L184="prąd",0,0)))))))</f>
        <v>7.6308749999999996E-3</v>
      </c>
      <c r="U184" s="639">
        <f>IF(L184="węgiel",R184*'Założenia,wskaźniki, listy'!$C$45,IF(L184="gaz",R184*'Założenia,wskaźniki, listy'!$D$45,IF(L184="drewno",R184*'Założenia,wskaźniki, listy'!$E$45,IF(L184="pelet",R184*'Założenia,wskaźniki, listy'!$F$45,IF(L184="olej opałowy",R184*'Założenia,wskaźniki, listy'!$G$45,IF(L184="sieć ciepłownicza",0,IF(L184="prąd",0,0)))))))</f>
        <v>6.8169149999999998E-3</v>
      </c>
      <c r="V184" s="639">
        <f>IF(L184="węgiel",R184*'Założenia,wskaźniki, listy'!$C$46,IF(L184="gaz",R184*'Założenia,wskaźniki, listy'!$D$46,IF(L184="drewno",R184*'Założenia,wskaźniki, listy'!$E$46,IF(L184="pelet",R184*'Założenia,wskaźniki, listy'!$F$46,IF(L184="olej opałowy",R184*'Założenia,wskaźniki, listy'!$G$46,IF(L184="sieć ciepłownicza",R184*'Założenia,wskaźniki, listy'!$H$46,IF(L184="prąd",R184*'Założenia,wskaźniki, listy'!$I$46,0)))))))</f>
        <v>3.1791920999999994</v>
      </c>
      <c r="W184" s="639">
        <f>IF(L184="węgiel",R184*'Założenia,wskaźniki, listy'!$C$47,IF(L184="gaz",R184*'Założenia,wskaźniki, listy'!$D$47,IF(L184="drewno",R184*'Założenia,wskaźniki, listy'!$E$47,IF(L184="pelet",R184*'Założenia,wskaźniki, listy'!$F$47,IF(L184="olej opałowy",R184*'Założenia,wskaźniki, listy'!$G$47,IF(L184="sieć ciepłownicza",0,IF(L184="prąd",0,0)))))))</f>
        <v>9.1570500000000007E-6</v>
      </c>
      <c r="X184" s="639">
        <f>IF(L184="węgiel",R184*'Założenia,wskaźniki, listy'!$C$48, IF(L184="gaz",R184*'Założenia,wskaźniki, listy'!$D$48,IF(L184="drewno",R184*'Założenia,wskaźniki, listy'!$E$48,IF(L184="pelet",R184*'Założenia,wskaźniki, listy'!$F$48,IF(L184="olej opałowy",R184*'Założenia,wskaźniki, listy'!$G$48,IF(L184="sieć ciepłownicza",0,IF(L184="prąd",0,0)))))))</f>
        <v>3.0523499999999999E-2</v>
      </c>
      <c r="Y184" s="639">
        <f>IF(L184="węgiel",R184*'Założenia,wskaźniki, listy'!$C$49, IF(L184="gaz",R184*'Założenia,wskaźniki, listy'!$D$49, IF(L184="drewno",R184*'Założenia,wskaźniki, listy'!$E$49,IF(L184="pelet",R184*'Założenia,wskaźniki, listy'!$F$49,IF(L184="olej opałowy",R184*'Założenia,wskaźniki, listy'!$G$49,IF(L184="sieć ciepłownicza",0,IF(L184="prąd",0,0)))))))</f>
        <v>5.35857E-3</v>
      </c>
      <c r="Z184" s="639">
        <f>IF(L184="węgiel",R184*'Założenia,wskaźniki, listy'!$C$50,IF(L184="gaz",R184*'Założenia,wskaźniki, listy'!$D$50, IF(L184="drewno",R184*'Założenia,wskaźniki, listy'!$E$50,IF(L184="pelet",R184*'Założenia,wskaźniki, listy'!$F$50,IF(L184="pelet",R184*'Założenia,wskaźniki, listy'!$F$50,IF(L184="olej opałowy",R184*'Założenia,wskaźniki, listy'!$G$50,IF(L184="sieć ciepłownicza",0,IF(L184="prąd",0,0))))))))</f>
        <v>6.8224184175234681E-2</v>
      </c>
      <c r="AA184" s="639">
        <f>IF(N184="węgiel",Q184*'Założenia,wskaźniki, listy'!$C$44,IF(N184="gaz",Q184*'Założenia,wskaźniki, listy'!$D$44,IF(N184="drewno",Q184*'Założenia,wskaźniki, listy'!$E$44,IF(N184="pelet",Q184*'Założenia,wskaźniki, listy'!$G$44,IF(N184="olej opałowy",Q184*'Założenia,wskaźniki, listy'!$G$44,IF(N184="sieć ciepłownicza",0,IF(N184="prąd",0,0)))))))</f>
        <v>0</v>
      </c>
      <c r="AB184" s="639">
        <f>IF(N184="węgiel",Q184*'Założenia,wskaźniki, listy'!$C$45,IF(N184="gaz",Q184*'Założenia,wskaźniki, listy'!$D$45,IF(N184="drewno",Q184*'Założenia,wskaźniki, listy'!$E$45,IF(N184="pelet",Q184*'Założenia,wskaźniki, listy'!$G$45,IF(N184="olej opałowy",Q184*'Założenia,wskaźniki, listy'!$G$45,IF(N184="sieć ciepłownicza",0,IF(N184="prąd",0,0)))))))</f>
        <v>0</v>
      </c>
      <c r="AC184" s="639">
        <f>IF(N184="węgiel",Q184*'Założenia,wskaźniki, listy'!$C$46,IF(N184="gaz",Q184*'Założenia,wskaźniki, listy'!$D$46,IF(N184="drewno",Q184*'Założenia,wskaźniki, listy'!$E$46,IF(N184="pelet",Q184*'Założenia,wskaźniki, listy'!$G$46,IF(N184="olej opałowy",Q184*'Założenia,wskaźniki, listy'!$G$46,IF(N184="sieć ciepłownicza",0,IF(N184="prąd",0,0)))))))</f>
        <v>0</v>
      </c>
      <c r="AD184" s="639">
        <f>IF(N184="węgiel",Q184*'Założenia,wskaźniki, listy'!$C$47,IF(N184="gaz",Q184*'Założenia,wskaźniki, listy'!$D$47,IF(N184="drewno",Q184*'Założenia,wskaźniki, listy'!$E$47,IF(N184="pelet",Q184*'Założenia,wskaźniki, listy'!$G$47,IF(N184="olej opałowy",Q184*'Założenia,wskaźniki, listy'!$G$47,IF(N184="sieć ciepłownicza",0,IF(N184="prąd",0,0)))))))</f>
        <v>0</v>
      </c>
      <c r="AE184" s="639">
        <f>IF(N184="węgiel",Q184*'Założenia,wskaźniki, listy'!$C$48,IF(N184="gaz",Q184*'Założenia,wskaźniki, listy'!$D$48,IF(N184="drewno",Q184*'Założenia,wskaźniki, listy'!$E$48,IF(N184="pelet",Q184*'Założenia,wskaźniki, listy'!$G$48,IF(N184="olej opałowy",Q184*'Założenia,wskaźniki, listy'!$G$48,IF(N184="sieć ciepłownicza",0,IF(N184="prąd",0,0)))))))</f>
        <v>0</v>
      </c>
      <c r="AF184" s="639">
        <f>IF(N184="węgiel",Q184*'Założenia,wskaźniki, listy'!$C$49,IF(N184="gaz",Q184*'Założenia,wskaźniki, listy'!$D$49,IF(N184="drewno",Q184*'Założenia,wskaźniki, listy'!$E$49,IF(N184="pelet",Q184*'Założenia,wskaźniki, listy'!$G$49,IF(N184="olej opałowy",Q184*'Założenia,wskaźniki, listy'!$G$49,IF(N184="sieć ciepłownicza",0,IF(N184="prąd",0,0)))))))</f>
        <v>0</v>
      </c>
      <c r="AG184" s="639">
        <f>IF(N184="węgiel",Q184*'Założenia,wskaźniki, listy'!$C$50,IF(N184="gaz",Q184*'Założenia,wskaźniki, listy'!$D$50,IF(N184="drewno",Q184*'Założenia,wskaźniki, listy'!$E$50,IF(N184="pelet",Q184*'Założenia,wskaźniki, listy'!$G$50,IF(N184="olej opałowy",Q184*'Założenia,wskaźniki, listy'!$G$50,IF(N184="sieć ciepłownicza",0,IF(N184="prąd",0,0)))))))</f>
        <v>0</v>
      </c>
      <c r="AH184" s="640">
        <f>IF(L184="węgiel",(P184+R184)/2*'Założenia,wskaźniki, listy'!$C$4,IF(L184="gaz",(P184+R184)/2*'Założenia,wskaźniki, listy'!$C$5,IF(L184="drewno",(P184+R184)/2*'Założenia,wskaźniki, listy'!$C$6,IF(L184="pelet",(P184+R184)/2*'Założenia,wskaźniki, listy'!$C$7,IF(L184="olej opałowy",(P184+R184)/2*'Założenia,wskaźniki, listy'!$C$8,IF(L184="sieć ciepłownicza",(P184+R184)/2*'Założenia,wskaźniki, listy'!$C$9,IF(L184="sieć ciepłownicza",(P184+R184)/2*'Założenia,wskaźniki, listy'!$C$10,)))))))</f>
        <v>695.25749999999994</v>
      </c>
      <c r="AI184" s="640">
        <f>IF(N184="węgiel",Q184*'Założenia,wskaźniki, listy'!$C$4,IF(N184="gaz",Q184*'Założenia,wskaźniki, listy'!$C$5,IF(N184="drewno",Q184*'Założenia,wskaźniki, listy'!$C$6,IF(N184="pelet",Q184*'Założenia,wskaźniki, listy'!$C$7,IF(N184="olej opałowy",Q184*'Założenia,wskaźniki, listy'!$C$8,IF(N184="sieć ciepłownicza",Q184*'Założenia,wskaźniki, listy'!$C$9,IF(N184="sieć ciepłownicza",Q184*'Założenia,wskaźniki, listy'!$C$10,0)))))))</f>
        <v>0</v>
      </c>
      <c r="AJ184" s="640">
        <f>S184*'Założenia,wskaźniki, listy'!$B$64*1000</f>
        <v>0</v>
      </c>
      <c r="AK184" s="640">
        <f>(H184+I184)*'Założenia,wskaźniki, listy'!$D$64*12</f>
        <v>0</v>
      </c>
      <c r="AL184" s="640">
        <f>AK184*'Założenia,wskaźniki, listy'!$F$64</f>
        <v>0</v>
      </c>
      <c r="AM184" s="639">
        <f t="shared" ref="AM184" si="341">T184+AA184</f>
        <v>7.6308749999999996E-3</v>
      </c>
      <c r="AN184" s="639">
        <f t="shared" ref="AN184" si="342">U184+AB184</f>
        <v>6.8169149999999998E-3</v>
      </c>
      <c r="AO184" s="639">
        <f>V184+AC184+S184*'Założenia,wskaźniki, listy'!$J$46</f>
        <v>3.1791920999999994</v>
      </c>
      <c r="AP184" s="639">
        <f t="shared" ref="AP184" si="343">W184+AD184</f>
        <v>9.1570500000000007E-6</v>
      </c>
      <c r="AQ184" s="639">
        <f t="shared" ref="AQ184" si="344">X184+AE184</f>
        <v>3.0523499999999999E-2</v>
      </c>
      <c r="AR184" s="639">
        <f t="shared" ref="AR184" si="345">Y184+AF184</f>
        <v>5.35857E-3</v>
      </c>
      <c r="AS184" s="639">
        <f t="shared" ref="AS184" si="346">Z184+AG184</f>
        <v>6.8224184175234681E-2</v>
      </c>
      <c r="AT184" s="647"/>
      <c r="AU184" s="647"/>
      <c r="AV184" s="624">
        <f t="shared" si="241"/>
        <v>0</v>
      </c>
      <c r="AW184" s="624" t="b">
        <f t="shared" si="242"/>
        <v>0</v>
      </c>
      <c r="AX184" s="624" t="b">
        <f t="shared" si="243"/>
        <v>0</v>
      </c>
      <c r="AY184" s="624" t="b">
        <f t="shared" si="244"/>
        <v>0</v>
      </c>
      <c r="AZ184" s="624" t="b">
        <f t="shared" si="245"/>
        <v>0</v>
      </c>
      <c r="BA184" s="624" t="b">
        <f t="shared" si="246"/>
        <v>0</v>
      </c>
      <c r="BB184" s="624" t="b">
        <f t="shared" si="247"/>
        <v>0</v>
      </c>
      <c r="BC184" s="624" t="b">
        <f t="shared" si="248"/>
        <v>0</v>
      </c>
      <c r="BD184" s="624" t="b">
        <f t="shared" si="249"/>
        <v>0</v>
      </c>
      <c r="BE184" s="624" t="b">
        <f t="shared" si="250"/>
        <v>0</v>
      </c>
      <c r="BF184" s="624">
        <f t="shared" si="251"/>
        <v>33.914999999999999</v>
      </c>
      <c r="BG184" s="624" t="b">
        <f t="shared" si="252"/>
        <v>0</v>
      </c>
      <c r="BH184" s="624" t="b">
        <f t="shared" si="253"/>
        <v>0</v>
      </c>
      <c r="BI184" s="624" t="b">
        <f t="shared" si="254"/>
        <v>0</v>
      </c>
      <c r="BJ184" s="624" t="b">
        <f t="shared" si="255"/>
        <v>0</v>
      </c>
      <c r="BK184" s="624" t="b">
        <f t="shared" si="256"/>
        <v>0</v>
      </c>
      <c r="BL184" s="624" t="b">
        <f t="shared" si="257"/>
        <v>0</v>
      </c>
      <c r="BM184" s="624" t="b">
        <f t="shared" si="258"/>
        <v>0</v>
      </c>
      <c r="BN184" s="624" t="b">
        <f t="shared" si="259"/>
        <v>0</v>
      </c>
      <c r="BO184" s="624" t="b">
        <f t="shared" si="260"/>
        <v>0</v>
      </c>
      <c r="BP184" s="624" t="b">
        <f t="shared" si="261"/>
        <v>0</v>
      </c>
      <c r="BQ184" s="624" t="b">
        <f t="shared" si="262"/>
        <v>0</v>
      </c>
    </row>
    <row r="185" spans="1:69" ht="8.25" customHeight="1">
      <c r="A185" s="1086">
        <v>91</v>
      </c>
      <c r="B185" s="872" t="s">
        <v>21</v>
      </c>
      <c r="C185" s="873" t="s">
        <v>640</v>
      </c>
      <c r="D185" s="645"/>
      <c r="E185" s="645">
        <v>2</v>
      </c>
      <c r="F185" s="644">
        <v>1960</v>
      </c>
      <c r="G185" s="644">
        <v>120</v>
      </c>
      <c r="H185" s="644"/>
      <c r="I185" s="635"/>
      <c r="J185" s="644">
        <f>IF(F185&lt;=1966,'Założenia,wskaźniki, listy'!$H$4,IF(F185&gt;1966,IF(F185&lt;=1985,'Założenia,wskaźniki, listy'!$H$5,IF(F185&gt;1985,IF(F185&lt;=1992,'Założenia,wskaźniki, listy'!$H$6,IF(F185&gt;1992,IF(F185&lt;=1996,'Założenia,wskaźniki, listy'!$H$7,IF(F185&gt;1996,IF(F185&lt;=2015,'Założenia,wskaźniki, listy'!$H$8)))))))))</f>
        <v>290</v>
      </c>
      <c r="K185" s="864" t="s">
        <v>32</v>
      </c>
      <c r="L185" s="644" t="s">
        <v>8</v>
      </c>
      <c r="M185" s="644">
        <v>3</v>
      </c>
      <c r="N185" s="644"/>
      <c r="O185" s="637">
        <f t="shared" si="240"/>
        <v>71.498999999999995</v>
      </c>
      <c r="P185" s="646">
        <f>IF(K185="kompletna",J185*G185*0.0036*'Założenia,wskaźniki, listy'!$P$9,IF(K185="częściowa",J185*G185*0.0036*'Założenia,wskaźniki, listy'!$P$10,IF(K185="brak",J185*G185*0.0036*'Założenia,wskaźniki, listy'!$P$11,0)))</f>
        <v>75.167999999999992</v>
      </c>
      <c r="Q185" s="638">
        <f>H185*'Założenia,wskaźniki, listy'!$L$15</f>
        <v>0</v>
      </c>
      <c r="R185" s="635">
        <f>IF(L185="węgiel",'Mieszkalne - baza'!M185*'Założenia,wskaźniki, listy'!$B$4,IF(L185="gaz",'Mieszkalne - baza'!M185*'Założenia,wskaźniki, listy'!$B$5,IF(L185="drewno",'Mieszkalne - baza'!M185*'Założenia,wskaźniki, listy'!$B$6,IF(L185="pelet",'Mieszkalne - baza'!M185*'Założenia,wskaźniki, listy'!$B$7,IF(L185="olej opałowy",'Mieszkalne - baza'!M185*'Założenia,wskaźniki, listy'!$B$8,IF(L185="sieć ciepłownicza",0,0))))))</f>
        <v>67.83</v>
      </c>
      <c r="S185" s="1084">
        <v>2.2560000000000002</v>
      </c>
      <c r="T185" s="639">
        <f>IF(L185="węgiel",R185*'Założenia,wskaźniki, listy'!$C$44,IF(L185="gaz",R185*'Założenia,wskaźniki, listy'!$D$44,IF(L185="drewno",R185*'Założenia,wskaźniki, listy'!$E$44,IF(L185="pelet",R185*'Założenia,wskaźniki, listy'!$F$44,IF(L185="olej opałowy",R185*'Założenia,wskaźniki, listy'!$G$44,IF(L185="sieć ciepłownicza",0,IF(L185="prąd",0,0)))))))</f>
        <v>1.5261749999999999E-2</v>
      </c>
      <c r="U185" s="639">
        <f>IF(L185="węgiel",R185*'Założenia,wskaźniki, listy'!$C$45,IF(L185="gaz",R185*'Założenia,wskaźniki, listy'!$D$45,IF(L185="drewno",R185*'Założenia,wskaźniki, listy'!$E$45,IF(L185="pelet",R185*'Założenia,wskaźniki, listy'!$F$45,IF(L185="olej opałowy",R185*'Założenia,wskaźniki, listy'!$G$45,IF(L185="sieć ciepłownicza",0,IF(L185="prąd",0,0)))))))</f>
        <v>1.363383E-2</v>
      </c>
      <c r="V185" s="639">
        <f>IF(L185="węgiel",R185*'Założenia,wskaźniki, listy'!$C$46,IF(L185="gaz",R185*'Założenia,wskaźniki, listy'!$D$46,IF(L185="drewno",R185*'Założenia,wskaźniki, listy'!$E$46,IF(L185="pelet",R185*'Założenia,wskaźniki, listy'!$F$46,IF(L185="olej opałowy",R185*'Założenia,wskaźniki, listy'!$G$46,IF(L185="sieć ciepłownicza",R185*'Założenia,wskaźniki, listy'!$H$46,IF(L185="prąd",R185*'Założenia,wskaźniki, listy'!$I$46,0)))))))</f>
        <v>6.3583841999999988</v>
      </c>
      <c r="W185" s="639">
        <f>IF(L185="węgiel",R185*'Założenia,wskaźniki, listy'!$C$47,IF(L185="gaz",R185*'Założenia,wskaźniki, listy'!$D$47,IF(L185="drewno",R185*'Założenia,wskaźniki, listy'!$E$47,IF(L185="pelet",R185*'Założenia,wskaźniki, listy'!$F$47,IF(L185="olej opałowy",R185*'Założenia,wskaźniki, listy'!$G$47,IF(L185="sieć ciepłownicza",0,IF(L185="prąd",0,0)))))))</f>
        <v>1.8314100000000001E-5</v>
      </c>
      <c r="X185" s="639">
        <f>IF(L185="węgiel",R185*'Założenia,wskaźniki, listy'!$C$48, IF(L185="gaz",R185*'Założenia,wskaźniki, listy'!$D$48,IF(L185="drewno",R185*'Założenia,wskaźniki, listy'!$E$48,IF(L185="pelet",R185*'Założenia,wskaźniki, listy'!$F$48,IF(L185="olej opałowy",R185*'Założenia,wskaźniki, listy'!$G$48,IF(L185="sieć ciepłownicza",0,IF(L185="prąd",0,0)))))))</f>
        <v>6.1046999999999997E-2</v>
      </c>
      <c r="Y185" s="639">
        <f>IF(L185="węgiel",R185*'Założenia,wskaźniki, listy'!$C$49, IF(L185="gaz",R185*'Założenia,wskaźniki, listy'!$D$49, IF(L185="drewno",R185*'Założenia,wskaźniki, listy'!$E$49,IF(L185="pelet",R185*'Założenia,wskaźniki, listy'!$F$49,IF(L185="olej opałowy",R185*'Założenia,wskaźniki, listy'!$G$49,IF(L185="sieć ciepłownicza",0,IF(L185="prąd",0,0)))))))</f>
        <v>1.071714E-2</v>
      </c>
      <c r="Z185" s="639">
        <f>IF(L185="węgiel",R185*'Założenia,wskaźniki, listy'!$C$50,IF(L185="gaz",R185*'Założenia,wskaźniki, listy'!$D$50, IF(L185="drewno",R185*'Założenia,wskaźniki, listy'!$E$50,IF(L185="pelet",R185*'Założenia,wskaźniki, listy'!$F$50,IF(L185="pelet",R185*'Założenia,wskaźniki, listy'!$F$50,IF(L185="olej opałowy",R185*'Założenia,wskaźniki, listy'!$G$50,IF(L185="sieć ciepłownicza",0,IF(L185="prąd",0,0))))))))</f>
        <v>0.13644836835046936</v>
      </c>
      <c r="AA185" s="639">
        <f>IF(N185="węgiel",Q185*'Założenia,wskaźniki, listy'!$C$44,IF(N185="gaz",Q185*'Założenia,wskaźniki, listy'!$D$44,IF(N185="drewno",Q185*'Założenia,wskaźniki, listy'!$E$44,IF(N185="pelet",Q185*'Założenia,wskaźniki, listy'!$G$44,IF(N185="olej opałowy",Q185*'Założenia,wskaźniki, listy'!$G$44,IF(N185="sieć ciepłownicza",0,IF(N185="prąd",0,0)))))))</f>
        <v>0</v>
      </c>
      <c r="AB185" s="639">
        <f>IF(N185="węgiel",Q185*'Założenia,wskaźniki, listy'!$C$45,IF(N185="gaz",Q185*'Założenia,wskaźniki, listy'!$D$45,IF(N185="drewno",Q185*'Założenia,wskaźniki, listy'!$E$45,IF(N185="pelet",Q185*'Założenia,wskaźniki, listy'!$G$45,IF(N185="olej opałowy",Q185*'Założenia,wskaźniki, listy'!$G$45,IF(N185="sieć ciepłownicza",0,IF(N185="prąd",0,0)))))))</f>
        <v>0</v>
      </c>
      <c r="AC185" s="639">
        <f>IF(N185="węgiel",Q185*'Założenia,wskaźniki, listy'!$C$46,IF(N185="gaz",Q185*'Założenia,wskaźniki, listy'!$D$46,IF(N185="drewno",Q185*'Założenia,wskaźniki, listy'!$E$46,IF(N185="pelet",Q185*'Założenia,wskaźniki, listy'!$G$46,IF(N185="olej opałowy",Q185*'Założenia,wskaźniki, listy'!$G$46,IF(N185="sieć ciepłownicza",0,IF(N185="prąd",0,0)))))))</f>
        <v>0</v>
      </c>
      <c r="AD185" s="639">
        <f>IF(N185="węgiel",Q185*'Założenia,wskaźniki, listy'!$C$47,IF(N185="gaz",Q185*'Założenia,wskaźniki, listy'!$D$47,IF(N185="drewno",Q185*'Założenia,wskaźniki, listy'!$E$47,IF(N185="pelet",Q185*'Założenia,wskaźniki, listy'!$G$47,IF(N185="olej opałowy",Q185*'Założenia,wskaźniki, listy'!$G$47,IF(N185="sieć ciepłownicza",0,IF(N185="prąd",0,0)))))))</f>
        <v>0</v>
      </c>
      <c r="AE185" s="639">
        <f>IF(N185="węgiel",Q185*'Założenia,wskaźniki, listy'!$C$48,IF(N185="gaz",Q185*'Założenia,wskaźniki, listy'!$D$48,IF(N185="drewno",Q185*'Założenia,wskaźniki, listy'!$E$48,IF(N185="pelet",Q185*'Założenia,wskaźniki, listy'!$G$48,IF(N185="olej opałowy",Q185*'Założenia,wskaźniki, listy'!$G$48,IF(N185="sieć ciepłownicza",0,IF(N185="prąd",0,0)))))))</f>
        <v>0</v>
      </c>
      <c r="AF185" s="639">
        <f>IF(N185="węgiel",Q185*'Założenia,wskaźniki, listy'!$C$49,IF(N185="gaz",Q185*'Założenia,wskaźniki, listy'!$D$49,IF(N185="drewno",Q185*'Założenia,wskaźniki, listy'!$E$49,IF(N185="pelet",Q185*'Założenia,wskaźniki, listy'!$G$49,IF(N185="olej opałowy",Q185*'Założenia,wskaźniki, listy'!$G$49,IF(N185="sieć ciepłownicza",0,IF(N185="prąd",0,0)))))))</f>
        <v>0</v>
      </c>
      <c r="AG185" s="639">
        <f>IF(N185="węgiel",Q185*'Założenia,wskaźniki, listy'!$C$50,IF(N185="gaz",Q185*'Założenia,wskaźniki, listy'!$D$50,IF(N185="drewno",Q185*'Założenia,wskaźniki, listy'!$E$50,IF(N185="pelet",Q185*'Założenia,wskaźniki, listy'!$G$50,IF(N185="olej opałowy",Q185*'Założenia,wskaźniki, listy'!$G$50,IF(N185="sieć ciepłownicza",0,IF(N185="prąd",0,0)))))))</f>
        <v>0</v>
      </c>
      <c r="AH185" s="640">
        <f>IF(L185="węgiel",(P185+R185)/2*'Założenia,wskaźniki, listy'!$C$4,IF(L185="gaz",(P185+R185)/2*'Założenia,wskaźniki, listy'!$C$5,IF(L185="drewno",(P185+R185)/2*'Założenia,wskaźniki, listy'!$C$6,IF(L185="pelet",(P185+R185)/2*'Założenia,wskaźniki, listy'!$C$7,IF(L185="olej opałowy",(P185+R185)/2*'Założenia,wskaźniki, listy'!$C$8,IF(L185="sieć ciepłownicza",(P185+R185)/2*'Założenia,wskaźniki, listy'!$C$9,IF(L185="sieć ciepłownicza",(P185+R185)/2*'Założenia,wskaźniki, listy'!$C$10,)))))))</f>
        <v>2931.4589999999998</v>
      </c>
      <c r="AI185" s="640">
        <f>IF(N185="węgiel",Q185*'Założenia,wskaźniki, listy'!$C$4,IF(N185="gaz",Q185*'Założenia,wskaźniki, listy'!$C$5,IF(N185="drewno",Q185*'Założenia,wskaźniki, listy'!$C$6,IF(N185="pelet",Q185*'Założenia,wskaźniki, listy'!$C$7,IF(N185="olej opałowy",Q185*'Założenia,wskaźniki, listy'!$C$8,IF(N185="sieć ciepłownicza",Q185*'Założenia,wskaźniki, listy'!$C$9,IF(N185="sieć ciepłownicza",Q185*'Założenia,wskaźniki, listy'!$C$10,0)))))))</f>
        <v>0</v>
      </c>
      <c r="AJ185" s="640">
        <f>S185*'Założenia,wskaźniki, listy'!$B$64*1000</f>
        <v>1601.76</v>
      </c>
      <c r="AK185" s="640">
        <f>(H185+I185)*'Założenia,wskaźniki, listy'!$D$64*12</f>
        <v>0</v>
      </c>
      <c r="AL185" s="640">
        <f>AK185*'Założenia,wskaźniki, listy'!$F$64</f>
        <v>0</v>
      </c>
      <c r="AM185" s="639">
        <f t="shared" ref="AM185:AM204" si="347">T185+AA185</f>
        <v>1.5261749999999999E-2</v>
      </c>
      <c r="AN185" s="639">
        <f t="shared" ref="AN185:AN204" si="348">U185+AB185</f>
        <v>1.363383E-2</v>
      </c>
      <c r="AO185" s="639">
        <f>V185+AC185+S185*'Założenia,wskaźniki, listy'!$J$46</f>
        <v>8.2342481999999997</v>
      </c>
      <c r="AP185" s="639">
        <f t="shared" ref="AP185:AP204" si="349">W185+AD185</f>
        <v>1.8314100000000001E-5</v>
      </c>
      <c r="AQ185" s="639">
        <f t="shared" ref="AQ185:AQ204" si="350">X185+AE185</f>
        <v>6.1046999999999997E-2</v>
      </c>
      <c r="AR185" s="639">
        <f t="shared" ref="AR185:AR204" si="351">Y185+AF185</f>
        <v>1.071714E-2</v>
      </c>
      <c r="AS185" s="639">
        <f t="shared" ref="AS185:AS204" si="352">Z185+AG185</f>
        <v>0.13644836835046936</v>
      </c>
      <c r="AT185" s="647"/>
      <c r="AU185" s="647"/>
      <c r="AV185" s="624">
        <f t="shared" si="241"/>
        <v>120</v>
      </c>
      <c r="AW185" s="624">
        <f t="shared" si="242"/>
        <v>120</v>
      </c>
      <c r="AX185" s="624" t="b">
        <f t="shared" si="243"/>
        <v>0</v>
      </c>
      <c r="AY185" s="624" t="b">
        <f t="shared" si="244"/>
        <v>0</v>
      </c>
      <c r="AZ185" s="624" t="b">
        <f t="shared" si="245"/>
        <v>0</v>
      </c>
      <c r="BA185" s="624" t="b">
        <f t="shared" si="246"/>
        <v>0</v>
      </c>
      <c r="BB185" s="624" t="b">
        <f t="shared" si="247"/>
        <v>0</v>
      </c>
      <c r="BC185" s="624" t="b">
        <f t="shared" si="248"/>
        <v>0</v>
      </c>
      <c r="BD185" s="624" t="b">
        <f t="shared" si="249"/>
        <v>0</v>
      </c>
      <c r="BE185" s="624" t="b">
        <f t="shared" si="250"/>
        <v>0</v>
      </c>
      <c r="BF185" s="624">
        <f t="shared" si="251"/>
        <v>67.83</v>
      </c>
      <c r="BG185" s="624" t="b">
        <f t="shared" si="252"/>
        <v>0</v>
      </c>
      <c r="BH185" s="624" t="b">
        <f t="shared" si="253"/>
        <v>0</v>
      </c>
      <c r="BI185" s="624" t="b">
        <f t="shared" si="254"/>
        <v>0</v>
      </c>
      <c r="BJ185" s="624" t="b">
        <f t="shared" si="255"/>
        <v>0</v>
      </c>
      <c r="BK185" s="624" t="b">
        <f t="shared" si="256"/>
        <v>0</v>
      </c>
      <c r="BL185" s="624" t="b">
        <f t="shared" si="257"/>
        <v>0</v>
      </c>
      <c r="BM185" s="624" t="b">
        <f t="shared" si="258"/>
        <v>0</v>
      </c>
      <c r="BN185" s="624" t="b">
        <f t="shared" si="259"/>
        <v>0</v>
      </c>
      <c r="BO185" s="624" t="b">
        <f t="shared" si="260"/>
        <v>0</v>
      </c>
      <c r="BP185" s="624" t="b">
        <f t="shared" si="261"/>
        <v>0</v>
      </c>
      <c r="BQ185" s="624" t="b">
        <f t="shared" si="262"/>
        <v>0</v>
      </c>
    </row>
    <row r="186" spans="1:69" ht="8.25" customHeight="1">
      <c r="A186" s="1086"/>
      <c r="B186" s="872"/>
      <c r="C186" s="872"/>
      <c r="D186" s="645"/>
      <c r="E186" s="645"/>
      <c r="F186" s="644"/>
      <c r="G186" s="644"/>
      <c r="H186" s="644"/>
      <c r="I186" s="635"/>
      <c r="J186" s="644">
        <f>IF(F186&lt;=1966,'Założenia,wskaźniki, listy'!$H$4,IF(F186&gt;1966,IF(F186&lt;=1985,'Założenia,wskaźniki, listy'!$H$5,IF(F186&gt;1985,IF(F186&lt;=1992,'Założenia,wskaźniki, listy'!$H$6,IF(F186&gt;1992,IF(F186&lt;=1996,'Założenia,wskaźniki, listy'!$H$7,IF(F186&gt;1996,IF(F186&lt;=2015,'Założenia,wskaźniki, listy'!$H$8)))))))))</f>
        <v>290</v>
      </c>
      <c r="K186" s="872"/>
      <c r="L186" s="644"/>
      <c r="M186" s="644"/>
      <c r="N186" s="644"/>
      <c r="O186" s="637">
        <f t="shared" ref="O186" si="353">IF(P186&gt;0,(Q186+R186+P186)/2,Q186+R186)</f>
        <v>0</v>
      </c>
      <c r="P186" s="646">
        <f>IF(K186="kompletna",J186*G186*0.0036*'Założenia,wskaźniki, listy'!$P$9,IF(K186="częściowa",J186*G186*0.0036*'Założenia,wskaźniki, listy'!$P$10,IF(K186="brak",J186*G186*0.0036*'Założenia,wskaźniki, listy'!$P$11,0)))</f>
        <v>0</v>
      </c>
      <c r="Q186" s="638">
        <f>H186*'Założenia,wskaźniki, listy'!$L$15</f>
        <v>0</v>
      </c>
      <c r="R186" s="635">
        <f>IF(L186="węgiel",'Mieszkalne - baza'!M186*'Założenia,wskaźniki, listy'!$B$4,IF(L186="gaz",'Mieszkalne - baza'!M186*'Założenia,wskaźniki, listy'!$B$5,IF(L186="drewno",'Mieszkalne - baza'!M186*'Założenia,wskaźniki, listy'!$B$6,IF(L186="pelet",'Mieszkalne - baza'!M186*'Założenia,wskaźniki, listy'!$B$7,IF(L186="olej opałowy",'Mieszkalne - baza'!M186*'Założenia,wskaźniki, listy'!$B$8,IF(L186="sieć ciepłownicza",0,0))))))</f>
        <v>0</v>
      </c>
      <c r="S186" s="1085"/>
      <c r="T186" s="639">
        <f>IF(L186="węgiel",R186*'Założenia,wskaźniki, listy'!$C$44,IF(L186="gaz",R186*'Założenia,wskaźniki, listy'!$D$44,IF(L186="drewno",R186*'Założenia,wskaźniki, listy'!$E$44,IF(L186="pelet",R186*'Założenia,wskaźniki, listy'!$F$44,IF(L186="olej opałowy",R186*'Założenia,wskaźniki, listy'!$G$44,IF(L186="sieć ciepłownicza",0,IF(L186="prąd",0,0)))))))</f>
        <v>0</v>
      </c>
      <c r="U186" s="639">
        <f>IF(L186="węgiel",R186*'Założenia,wskaźniki, listy'!$C$45,IF(L186="gaz",R186*'Założenia,wskaźniki, listy'!$D$45,IF(L186="drewno",R186*'Założenia,wskaźniki, listy'!$E$45,IF(L186="pelet",R186*'Założenia,wskaźniki, listy'!$F$45,IF(L186="olej opałowy",R186*'Założenia,wskaźniki, listy'!$G$45,IF(L186="sieć ciepłownicza",0,IF(L186="prąd",0,0)))))))</f>
        <v>0</v>
      </c>
      <c r="V186" s="639">
        <f>IF(L186="węgiel",R186*'Założenia,wskaźniki, listy'!$C$46,IF(L186="gaz",R186*'Założenia,wskaźniki, listy'!$D$46,IF(L186="drewno",R186*'Założenia,wskaźniki, listy'!$E$46,IF(L186="pelet",R186*'Założenia,wskaźniki, listy'!$F$46,IF(L186="olej opałowy",R186*'Założenia,wskaźniki, listy'!$G$46,IF(L186="sieć ciepłownicza",R186*'Założenia,wskaźniki, listy'!$H$46,IF(L186="prąd",R186*'Założenia,wskaźniki, listy'!$I$46,0)))))))</f>
        <v>0</v>
      </c>
      <c r="W186" s="639">
        <f>IF(L186="węgiel",R186*'Założenia,wskaźniki, listy'!$C$47,IF(L186="gaz",R186*'Założenia,wskaźniki, listy'!$D$47,IF(L186="drewno",R186*'Założenia,wskaźniki, listy'!$E$47,IF(L186="pelet",R186*'Założenia,wskaźniki, listy'!$F$47,IF(L186="olej opałowy",R186*'Założenia,wskaźniki, listy'!$G$47,IF(L186="sieć ciepłownicza",0,IF(L186="prąd",0,0)))))))</f>
        <v>0</v>
      </c>
      <c r="X186" s="639">
        <f>IF(L186="węgiel",R186*'Założenia,wskaźniki, listy'!$C$48, IF(L186="gaz",R186*'Założenia,wskaźniki, listy'!$D$48,IF(L186="drewno",R186*'Założenia,wskaźniki, listy'!$E$48,IF(L186="pelet",R186*'Założenia,wskaźniki, listy'!$F$48,IF(L186="olej opałowy",R186*'Założenia,wskaźniki, listy'!$G$48,IF(L186="sieć ciepłownicza",0,IF(L186="prąd",0,0)))))))</f>
        <v>0</v>
      </c>
      <c r="Y186" s="639">
        <f>IF(L186="węgiel",R186*'Założenia,wskaźniki, listy'!$C$49, IF(L186="gaz",R186*'Założenia,wskaźniki, listy'!$D$49, IF(L186="drewno",R186*'Założenia,wskaźniki, listy'!$E$49,IF(L186="pelet",R186*'Założenia,wskaźniki, listy'!$F$49,IF(L186="olej opałowy",R186*'Założenia,wskaźniki, listy'!$G$49,IF(L186="sieć ciepłownicza",0,IF(L186="prąd",0,0)))))))</f>
        <v>0</v>
      </c>
      <c r="Z186" s="639">
        <f>IF(L186="węgiel",R186*'Założenia,wskaźniki, listy'!$C$50,IF(L186="gaz",R186*'Założenia,wskaźniki, listy'!$D$50, IF(L186="drewno",R186*'Założenia,wskaźniki, listy'!$E$50,IF(L186="pelet",R186*'Założenia,wskaźniki, listy'!$F$50,IF(L186="pelet",R186*'Założenia,wskaźniki, listy'!$F$50,IF(L186="olej opałowy",R186*'Założenia,wskaźniki, listy'!$G$50,IF(L186="sieć ciepłownicza",0,IF(L186="prąd",0,0))))))))</f>
        <v>0</v>
      </c>
      <c r="AA186" s="639">
        <f>IF(N186="węgiel",Q186*'Założenia,wskaźniki, listy'!$C$44,IF(N186="gaz",Q186*'Założenia,wskaźniki, listy'!$D$44,IF(N186="drewno",Q186*'Założenia,wskaźniki, listy'!$E$44,IF(N186="pelet",Q186*'Założenia,wskaźniki, listy'!$G$44,IF(N186="olej opałowy",Q186*'Założenia,wskaźniki, listy'!$G$44,IF(N186="sieć ciepłownicza",0,IF(N186="prąd",0,0)))))))</f>
        <v>0</v>
      </c>
      <c r="AB186" s="639">
        <f>IF(N186="węgiel",Q186*'Założenia,wskaźniki, listy'!$C$45,IF(N186="gaz",Q186*'Założenia,wskaźniki, listy'!$D$45,IF(N186="drewno",Q186*'Założenia,wskaźniki, listy'!$E$45,IF(N186="pelet",Q186*'Założenia,wskaźniki, listy'!$G$45,IF(N186="olej opałowy",Q186*'Założenia,wskaźniki, listy'!$G$45,IF(N186="sieć ciepłownicza",0,IF(N186="prąd",0,0)))))))</f>
        <v>0</v>
      </c>
      <c r="AC186" s="639">
        <f>IF(N186="węgiel",Q186*'Założenia,wskaźniki, listy'!$C$46,IF(N186="gaz",Q186*'Założenia,wskaźniki, listy'!$D$46,IF(N186="drewno",Q186*'Założenia,wskaźniki, listy'!$E$46,IF(N186="pelet",Q186*'Założenia,wskaźniki, listy'!$G$46,IF(N186="olej opałowy",Q186*'Założenia,wskaźniki, listy'!$G$46,IF(N186="sieć ciepłownicza",0,IF(N186="prąd",0,0)))))))</f>
        <v>0</v>
      </c>
      <c r="AD186" s="639">
        <f>IF(N186="węgiel",Q186*'Założenia,wskaźniki, listy'!$C$47,IF(N186="gaz",Q186*'Założenia,wskaźniki, listy'!$D$47,IF(N186="drewno",Q186*'Założenia,wskaźniki, listy'!$E$47,IF(N186="pelet",Q186*'Założenia,wskaźniki, listy'!$G$47,IF(N186="olej opałowy",Q186*'Założenia,wskaźniki, listy'!$G$47,IF(N186="sieć ciepłownicza",0,IF(N186="prąd",0,0)))))))</f>
        <v>0</v>
      </c>
      <c r="AE186" s="639">
        <f>IF(N186="węgiel",Q186*'Założenia,wskaźniki, listy'!$C$48,IF(N186="gaz",Q186*'Założenia,wskaźniki, listy'!$D$48,IF(N186="drewno",Q186*'Założenia,wskaźniki, listy'!$E$48,IF(N186="pelet",Q186*'Założenia,wskaźniki, listy'!$G$48,IF(N186="olej opałowy",Q186*'Założenia,wskaźniki, listy'!$G$48,IF(N186="sieć ciepłownicza",0,IF(N186="prąd",0,0)))))))</f>
        <v>0</v>
      </c>
      <c r="AF186" s="639">
        <f>IF(N186="węgiel",Q186*'Założenia,wskaźniki, listy'!$C$49,IF(N186="gaz",Q186*'Założenia,wskaźniki, listy'!$D$49,IF(N186="drewno",Q186*'Założenia,wskaźniki, listy'!$E$49,IF(N186="pelet",Q186*'Założenia,wskaźniki, listy'!$G$49,IF(N186="olej opałowy",Q186*'Założenia,wskaźniki, listy'!$G$49,IF(N186="sieć ciepłownicza",0,IF(N186="prąd",0,0)))))))</f>
        <v>0</v>
      </c>
      <c r="AG186" s="639">
        <f>IF(N186="węgiel",Q186*'Założenia,wskaźniki, listy'!$C$50,IF(N186="gaz",Q186*'Założenia,wskaźniki, listy'!$D$50,IF(N186="drewno",Q186*'Założenia,wskaźniki, listy'!$E$50,IF(N186="pelet",Q186*'Założenia,wskaźniki, listy'!$G$50,IF(N186="olej opałowy",Q186*'Założenia,wskaźniki, listy'!$G$50,IF(N186="sieć ciepłownicza",0,IF(N186="prąd",0,0)))))))</f>
        <v>0</v>
      </c>
      <c r="AH186" s="640">
        <f>IF(L186="węgiel",(P186+R186)/2*'Założenia,wskaźniki, listy'!$C$4,IF(L186="gaz",(P186+R186)/2*'Założenia,wskaźniki, listy'!$C$5,IF(L186="drewno",(P186+R186)/2*'Założenia,wskaźniki, listy'!$C$6,IF(L186="pelet",(P186+R186)/2*'Założenia,wskaźniki, listy'!$C$7,IF(L186="olej opałowy",(P186+R186)/2*'Założenia,wskaźniki, listy'!$C$8,IF(L186="sieć ciepłownicza",(P186+R186)/2*'Założenia,wskaźniki, listy'!$C$9,IF(L186="sieć ciepłownicza",(P186+R186)/2*'Założenia,wskaźniki, listy'!$C$10,)))))))</f>
        <v>0</v>
      </c>
      <c r="AI186" s="640">
        <f>IF(N186="węgiel",Q186*'Założenia,wskaźniki, listy'!$C$4,IF(N186="gaz",Q186*'Założenia,wskaźniki, listy'!$C$5,IF(N186="drewno",Q186*'Założenia,wskaźniki, listy'!$C$6,IF(N186="pelet",Q186*'Założenia,wskaźniki, listy'!$C$7,IF(N186="olej opałowy",Q186*'Założenia,wskaźniki, listy'!$C$8,IF(N186="sieć ciepłownicza",Q186*'Założenia,wskaźniki, listy'!$C$9,IF(N186="sieć ciepłownicza",Q186*'Założenia,wskaźniki, listy'!$C$10,0)))))))</f>
        <v>0</v>
      </c>
      <c r="AJ186" s="640">
        <f>S186*'Założenia,wskaźniki, listy'!$B$64*1000</f>
        <v>0</v>
      </c>
      <c r="AK186" s="640">
        <f>(H186+I186)*'Założenia,wskaźniki, listy'!$D$64*12</f>
        <v>0</v>
      </c>
      <c r="AL186" s="640">
        <f>AK186*'Założenia,wskaźniki, listy'!$F$64</f>
        <v>0</v>
      </c>
      <c r="AM186" s="639">
        <f t="shared" ref="AM186" si="354">T186+AA186</f>
        <v>0</v>
      </c>
      <c r="AN186" s="639">
        <f t="shared" ref="AN186" si="355">U186+AB186</f>
        <v>0</v>
      </c>
      <c r="AO186" s="639">
        <f>V186+AC186+S186*'Założenia,wskaźniki, listy'!$J$46</f>
        <v>0</v>
      </c>
      <c r="AP186" s="639">
        <f t="shared" ref="AP186" si="356">W186+AD186</f>
        <v>0</v>
      </c>
      <c r="AQ186" s="639">
        <f t="shared" ref="AQ186" si="357">X186+AE186</f>
        <v>0</v>
      </c>
      <c r="AR186" s="639">
        <f t="shared" ref="AR186" si="358">Y186+AF186</f>
        <v>0</v>
      </c>
      <c r="AS186" s="639">
        <f t="shared" ref="AS186" si="359">Z186+AG186</f>
        <v>0</v>
      </c>
      <c r="AT186" s="647"/>
      <c r="AU186" s="647"/>
      <c r="AV186" s="624">
        <f t="shared" si="241"/>
        <v>0</v>
      </c>
      <c r="AW186" s="624" t="b">
        <f t="shared" si="242"/>
        <v>0</v>
      </c>
      <c r="AX186" s="624" t="b">
        <f t="shared" si="243"/>
        <v>0</v>
      </c>
      <c r="AY186" s="624" t="b">
        <f t="shared" si="244"/>
        <v>0</v>
      </c>
      <c r="AZ186" s="624" t="b">
        <f t="shared" si="245"/>
        <v>0</v>
      </c>
      <c r="BA186" s="624" t="b">
        <f t="shared" si="246"/>
        <v>0</v>
      </c>
      <c r="BB186" s="624" t="b">
        <f t="shared" si="247"/>
        <v>0</v>
      </c>
      <c r="BC186" s="624" t="b">
        <f t="shared" si="248"/>
        <v>0</v>
      </c>
      <c r="BD186" s="624" t="b">
        <f t="shared" si="249"/>
        <v>0</v>
      </c>
      <c r="BE186" s="624" t="b">
        <f t="shared" si="250"/>
        <v>0</v>
      </c>
      <c r="BF186" s="624" t="b">
        <f t="shared" si="251"/>
        <v>0</v>
      </c>
      <c r="BG186" s="624" t="b">
        <f t="shared" si="252"/>
        <v>0</v>
      </c>
      <c r="BH186" s="624" t="b">
        <f t="shared" si="253"/>
        <v>0</v>
      </c>
      <c r="BI186" s="624" t="b">
        <f t="shared" si="254"/>
        <v>0</v>
      </c>
      <c r="BJ186" s="624" t="b">
        <f t="shared" si="255"/>
        <v>0</v>
      </c>
      <c r="BK186" s="624" t="b">
        <f t="shared" si="256"/>
        <v>0</v>
      </c>
      <c r="BL186" s="624" t="b">
        <f t="shared" si="257"/>
        <v>0</v>
      </c>
      <c r="BM186" s="624" t="b">
        <f t="shared" si="258"/>
        <v>0</v>
      </c>
      <c r="BN186" s="624" t="b">
        <f t="shared" si="259"/>
        <v>0</v>
      </c>
      <c r="BO186" s="624" t="b">
        <f t="shared" si="260"/>
        <v>0</v>
      </c>
      <c r="BP186" s="624" t="b">
        <f t="shared" si="261"/>
        <v>0</v>
      </c>
      <c r="BQ186" s="624" t="b">
        <f t="shared" si="262"/>
        <v>0</v>
      </c>
    </row>
    <row r="187" spans="1:69" ht="8.25" customHeight="1">
      <c r="A187" s="1086">
        <v>92</v>
      </c>
      <c r="B187" s="872" t="s">
        <v>21</v>
      </c>
      <c r="C187" s="873" t="s">
        <v>640</v>
      </c>
      <c r="D187" s="645"/>
      <c r="E187" s="645" t="s">
        <v>627</v>
      </c>
      <c r="F187" s="644">
        <v>2006</v>
      </c>
      <c r="G187" s="644">
        <v>120</v>
      </c>
      <c r="H187" s="644"/>
      <c r="I187" s="635"/>
      <c r="J187" s="644">
        <f>IF(F187&lt;=1966,'Założenia,wskaźniki, listy'!$H$4,IF(F187&gt;1966,IF(F187&lt;=1985,'Założenia,wskaźniki, listy'!$H$5,IF(F187&gt;1985,IF(F187&lt;=1992,'Założenia,wskaźniki, listy'!$H$6,IF(F187&gt;1992,IF(F187&lt;=1996,'Założenia,wskaźniki, listy'!$H$7,IF(F187&gt;1996,IF(F187&lt;=2015,'Założenia,wskaźniki, listy'!$H$8)))))))))</f>
        <v>115</v>
      </c>
      <c r="K187" s="864" t="s">
        <v>31</v>
      </c>
      <c r="L187" s="644" t="s">
        <v>8</v>
      </c>
      <c r="M187" s="644">
        <v>2</v>
      </c>
      <c r="N187" s="644"/>
      <c r="O187" s="637">
        <f t="shared" si="240"/>
        <v>47.45</v>
      </c>
      <c r="P187" s="646">
        <f>IF(K187="kompletna",J187*G187*0.0036*'Założenia,wskaźniki, listy'!$P$9,IF(K187="częściowa",J187*G187*0.0036*'Założenia,wskaźniki, listy'!$P$10,IF(K187="brak",J187*G187*0.0036*'Założenia,wskaźniki, listy'!$P$11,0)))</f>
        <v>49.68</v>
      </c>
      <c r="Q187" s="638">
        <f>H187*'Założenia,wskaźniki, listy'!$L$15</f>
        <v>0</v>
      </c>
      <c r="R187" s="635">
        <f>IF(L187="węgiel",'Mieszkalne - baza'!M187*'Założenia,wskaźniki, listy'!$B$4,IF(L187="gaz",'Mieszkalne - baza'!M187*'Założenia,wskaźniki, listy'!$B$5,IF(L187="drewno",'Mieszkalne - baza'!M187*'Założenia,wskaźniki, listy'!$B$6,IF(L187="pelet",'Mieszkalne - baza'!M187*'Założenia,wskaźniki, listy'!$B$7,IF(L187="olej opałowy",'Mieszkalne - baza'!M187*'Założenia,wskaźniki, listy'!$B$8,IF(L187="sieć ciepłownicza",0,0))))))</f>
        <v>45.22</v>
      </c>
      <c r="S187" s="1084">
        <v>1.6919999999999999</v>
      </c>
      <c r="T187" s="639">
        <f>IF(L187="węgiel",R187*'Założenia,wskaźniki, listy'!$C$44,IF(L187="gaz",R187*'Założenia,wskaźniki, listy'!$D$44,IF(L187="drewno",R187*'Założenia,wskaźniki, listy'!$E$44,IF(L187="pelet",R187*'Założenia,wskaźniki, listy'!$F$44,IF(L187="olej opałowy",R187*'Założenia,wskaźniki, listy'!$G$44,IF(L187="sieć ciepłownicza",0,IF(L187="prąd",0,0)))))))</f>
        <v>1.01745E-2</v>
      </c>
      <c r="U187" s="639">
        <f>IF(L187="węgiel",R187*'Założenia,wskaźniki, listy'!$C$45,IF(L187="gaz",R187*'Założenia,wskaźniki, listy'!$D$45,IF(L187="drewno",R187*'Założenia,wskaźniki, listy'!$E$45,IF(L187="pelet",R187*'Założenia,wskaźniki, listy'!$F$45,IF(L187="olej opałowy",R187*'Założenia,wskaźniki, listy'!$G$45,IF(L187="sieć ciepłownicza",0,IF(L187="prąd",0,0)))))))</f>
        <v>9.0892200000000003E-3</v>
      </c>
      <c r="V187" s="639">
        <f>IF(L187="węgiel",R187*'Założenia,wskaźniki, listy'!$C$46,IF(L187="gaz",R187*'Założenia,wskaźniki, listy'!$D$46,IF(L187="drewno",R187*'Założenia,wskaźniki, listy'!$E$46,IF(L187="pelet",R187*'Założenia,wskaźniki, listy'!$F$46,IF(L187="olej opałowy",R187*'Założenia,wskaźniki, listy'!$G$46,IF(L187="sieć ciepłownicza",R187*'Założenia,wskaźniki, listy'!$H$46,IF(L187="prąd",R187*'Założenia,wskaźniki, listy'!$I$46,0)))))))</f>
        <v>4.2389227999999992</v>
      </c>
      <c r="W187" s="639">
        <f>IF(L187="węgiel",R187*'Założenia,wskaźniki, listy'!$C$47,IF(L187="gaz",R187*'Założenia,wskaźniki, listy'!$D$47,IF(L187="drewno",R187*'Założenia,wskaźniki, listy'!$E$47,IF(L187="pelet",R187*'Założenia,wskaźniki, listy'!$F$47,IF(L187="olej opałowy",R187*'Założenia,wskaźniki, listy'!$G$47,IF(L187="sieć ciepłownicza",0,IF(L187="prąd",0,0)))))))</f>
        <v>1.22094E-5</v>
      </c>
      <c r="X187" s="639">
        <f>IF(L187="węgiel",R187*'Założenia,wskaźniki, listy'!$C$48, IF(L187="gaz",R187*'Założenia,wskaźniki, listy'!$D$48,IF(L187="drewno",R187*'Założenia,wskaźniki, listy'!$E$48,IF(L187="pelet",R187*'Założenia,wskaźniki, listy'!$F$48,IF(L187="olej opałowy",R187*'Założenia,wskaźniki, listy'!$G$48,IF(L187="sieć ciepłownicza",0,IF(L187="prąd",0,0)))))))</f>
        <v>4.0697999999999998E-2</v>
      </c>
      <c r="Y187" s="639">
        <f>IF(L187="węgiel",R187*'Założenia,wskaźniki, listy'!$C$49, IF(L187="gaz",R187*'Założenia,wskaźniki, listy'!$D$49, IF(L187="drewno",R187*'Założenia,wskaźniki, listy'!$E$49,IF(L187="pelet",R187*'Założenia,wskaźniki, listy'!$F$49,IF(L187="olej opałowy",R187*'Założenia,wskaźniki, listy'!$G$49,IF(L187="sieć ciepłownicza",0,IF(L187="prąd",0,0)))))))</f>
        <v>7.1447599999999991E-3</v>
      </c>
      <c r="Z187" s="639">
        <f>IF(L187="węgiel",R187*'Założenia,wskaźniki, listy'!$C$50,IF(L187="gaz",R187*'Założenia,wskaźniki, listy'!$D$50, IF(L187="drewno",R187*'Założenia,wskaźniki, listy'!$E$50,IF(L187="pelet",R187*'Założenia,wskaźniki, listy'!$F$50,IF(L187="pelet",R187*'Założenia,wskaźniki, listy'!$F$50,IF(L187="olej opałowy",R187*'Założenia,wskaźniki, listy'!$G$50,IF(L187="sieć ciepłownicza",0,IF(L187="prąd",0,0))))))))</f>
        <v>9.0965578900312913E-2</v>
      </c>
      <c r="AA187" s="639">
        <f>IF(N187="węgiel",Q187*'Założenia,wskaźniki, listy'!$C$44,IF(N187="gaz",Q187*'Założenia,wskaźniki, listy'!$D$44,IF(N187="drewno",Q187*'Założenia,wskaźniki, listy'!$E$44,IF(N187="pelet",Q187*'Założenia,wskaźniki, listy'!$G$44,IF(N187="olej opałowy",Q187*'Założenia,wskaźniki, listy'!$G$44,IF(N187="sieć ciepłownicza",0,IF(N187="prąd",0,0)))))))</f>
        <v>0</v>
      </c>
      <c r="AB187" s="639">
        <f>IF(N187="węgiel",Q187*'Założenia,wskaźniki, listy'!$C$45,IF(N187="gaz",Q187*'Założenia,wskaźniki, listy'!$D$45,IF(N187="drewno",Q187*'Założenia,wskaźniki, listy'!$E$45,IF(N187="pelet",Q187*'Założenia,wskaźniki, listy'!$G$45,IF(N187="olej opałowy",Q187*'Założenia,wskaźniki, listy'!$G$45,IF(N187="sieć ciepłownicza",0,IF(N187="prąd",0,0)))))))</f>
        <v>0</v>
      </c>
      <c r="AC187" s="639">
        <f>IF(N187="węgiel",Q187*'Założenia,wskaźniki, listy'!$C$46,IF(N187="gaz",Q187*'Założenia,wskaźniki, listy'!$D$46,IF(N187="drewno",Q187*'Założenia,wskaźniki, listy'!$E$46,IF(N187="pelet",Q187*'Założenia,wskaźniki, listy'!$G$46,IF(N187="olej opałowy",Q187*'Założenia,wskaźniki, listy'!$G$46,IF(N187="sieć ciepłownicza",0,IF(N187="prąd",0,0)))))))</f>
        <v>0</v>
      </c>
      <c r="AD187" s="639">
        <f>IF(N187="węgiel",Q187*'Założenia,wskaźniki, listy'!$C$47,IF(N187="gaz",Q187*'Założenia,wskaźniki, listy'!$D$47,IF(N187="drewno",Q187*'Założenia,wskaźniki, listy'!$E$47,IF(N187="pelet",Q187*'Założenia,wskaźniki, listy'!$G$47,IF(N187="olej opałowy",Q187*'Założenia,wskaźniki, listy'!$G$47,IF(N187="sieć ciepłownicza",0,IF(N187="prąd",0,0)))))))</f>
        <v>0</v>
      </c>
      <c r="AE187" s="639">
        <f>IF(N187="węgiel",Q187*'Założenia,wskaźniki, listy'!$C$48,IF(N187="gaz",Q187*'Założenia,wskaźniki, listy'!$D$48,IF(N187="drewno",Q187*'Założenia,wskaźniki, listy'!$E$48,IF(N187="pelet",Q187*'Założenia,wskaźniki, listy'!$G$48,IF(N187="olej opałowy",Q187*'Założenia,wskaźniki, listy'!$G$48,IF(N187="sieć ciepłownicza",0,IF(N187="prąd",0,0)))))))</f>
        <v>0</v>
      </c>
      <c r="AF187" s="639">
        <f>IF(N187="węgiel",Q187*'Założenia,wskaźniki, listy'!$C$49,IF(N187="gaz",Q187*'Założenia,wskaźniki, listy'!$D$49,IF(N187="drewno",Q187*'Założenia,wskaźniki, listy'!$E$49,IF(N187="pelet",Q187*'Założenia,wskaźniki, listy'!$G$49,IF(N187="olej opałowy",Q187*'Założenia,wskaźniki, listy'!$G$49,IF(N187="sieć ciepłownicza",0,IF(N187="prąd",0,0)))))))</f>
        <v>0</v>
      </c>
      <c r="AG187" s="639">
        <f>IF(N187="węgiel",Q187*'Założenia,wskaźniki, listy'!$C$50,IF(N187="gaz",Q187*'Założenia,wskaźniki, listy'!$D$50,IF(N187="drewno",Q187*'Założenia,wskaźniki, listy'!$E$50,IF(N187="pelet",Q187*'Założenia,wskaźniki, listy'!$G$50,IF(N187="olej opałowy",Q187*'Założenia,wskaźniki, listy'!$G$50,IF(N187="sieć ciepłownicza",0,IF(N187="prąd",0,0)))))))</f>
        <v>0</v>
      </c>
      <c r="AH187" s="640">
        <f>IF(L187="węgiel",(P187+R187)/2*'Założenia,wskaźniki, listy'!$C$4,IF(L187="gaz",(P187+R187)/2*'Założenia,wskaźniki, listy'!$C$5,IF(L187="drewno",(P187+R187)/2*'Założenia,wskaźniki, listy'!$C$6,IF(L187="pelet",(P187+R187)/2*'Założenia,wskaźniki, listy'!$C$7,IF(L187="olej opałowy",(P187+R187)/2*'Założenia,wskaźniki, listy'!$C$8,IF(L187="sieć ciepłownicza",(P187+R187)/2*'Założenia,wskaźniki, listy'!$C$9,IF(L187="sieć ciepłownicza",(P187+R187)/2*'Założenia,wskaźniki, listy'!$C$10,)))))))</f>
        <v>1945.45</v>
      </c>
      <c r="AI187" s="640">
        <f>IF(N187="węgiel",Q187*'Założenia,wskaźniki, listy'!$C$4,IF(N187="gaz",Q187*'Założenia,wskaźniki, listy'!$C$5,IF(N187="drewno",Q187*'Założenia,wskaźniki, listy'!$C$6,IF(N187="pelet",Q187*'Założenia,wskaźniki, listy'!$C$7,IF(N187="olej opałowy",Q187*'Założenia,wskaźniki, listy'!$C$8,IF(N187="sieć ciepłownicza",Q187*'Założenia,wskaźniki, listy'!$C$9,IF(N187="sieć ciepłownicza",Q187*'Założenia,wskaźniki, listy'!$C$10,0)))))))</f>
        <v>0</v>
      </c>
      <c r="AJ187" s="640">
        <f>S187*'Założenia,wskaźniki, listy'!$B$64*1000</f>
        <v>1201.32</v>
      </c>
      <c r="AK187" s="640">
        <f>(H187+I187)*'Założenia,wskaźniki, listy'!$D$64*12</f>
        <v>0</v>
      </c>
      <c r="AL187" s="640">
        <f>AK187*'Założenia,wskaźniki, listy'!$F$64</f>
        <v>0</v>
      </c>
      <c r="AM187" s="639">
        <f t="shared" si="347"/>
        <v>1.01745E-2</v>
      </c>
      <c r="AN187" s="639">
        <f t="shared" si="348"/>
        <v>9.0892200000000003E-3</v>
      </c>
      <c r="AO187" s="639">
        <f>V187+AC187+S187*'Założenia,wskaźniki, listy'!$J$46</f>
        <v>5.6458207999999992</v>
      </c>
      <c r="AP187" s="639">
        <f t="shared" si="349"/>
        <v>1.22094E-5</v>
      </c>
      <c r="AQ187" s="639">
        <f t="shared" si="350"/>
        <v>4.0697999999999998E-2</v>
      </c>
      <c r="AR187" s="639">
        <f t="shared" si="351"/>
        <v>7.1447599999999991E-3</v>
      </c>
      <c r="AS187" s="639">
        <f t="shared" si="352"/>
        <v>9.0965578900312913E-2</v>
      </c>
      <c r="AT187" s="647"/>
      <c r="AU187" s="647"/>
      <c r="AV187" s="624" t="b">
        <f t="shared" si="241"/>
        <v>0</v>
      </c>
      <c r="AW187" s="624" t="b">
        <f t="shared" si="242"/>
        <v>0</v>
      </c>
      <c r="AX187" s="624" t="b">
        <f t="shared" si="243"/>
        <v>0</v>
      </c>
      <c r="AY187" s="624" t="b">
        <f t="shared" si="244"/>
        <v>0</v>
      </c>
      <c r="AZ187" s="624" t="b">
        <f t="shared" si="245"/>
        <v>0</v>
      </c>
      <c r="BA187" s="624" t="b">
        <f t="shared" si="246"/>
        <v>0</v>
      </c>
      <c r="BB187" s="624" t="b">
        <f t="shared" si="247"/>
        <v>0</v>
      </c>
      <c r="BC187" s="624" t="b">
        <f t="shared" si="248"/>
        <v>0</v>
      </c>
      <c r="BD187" s="624">
        <f t="shared" si="249"/>
        <v>120</v>
      </c>
      <c r="BE187" s="624" t="b">
        <f t="shared" si="250"/>
        <v>0</v>
      </c>
      <c r="BF187" s="624">
        <f t="shared" si="251"/>
        <v>45.22</v>
      </c>
      <c r="BG187" s="624" t="b">
        <f t="shared" si="252"/>
        <v>0</v>
      </c>
      <c r="BH187" s="624" t="b">
        <f t="shared" si="253"/>
        <v>0</v>
      </c>
      <c r="BI187" s="624" t="b">
        <f t="shared" si="254"/>
        <v>0</v>
      </c>
      <c r="BJ187" s="624" t="b">
        <f t="shared" si="255"/>
        <v>0</v>
      </c>
      <c r="BK187" s="624" t="b">
        <f t="shared" si="256"/>
        <v>0</v>
      </c>
      <c r="BL187" s="624" t="b">
        <f t="shared" si="257"/>
        <v>0</v>
      </c>
      <c r="BM187" s="624" t="b">
        <f t="shared" si="258"/>
        <v>0</v>
      </c>
      <c r="BN187" s="624" t="b">
        <f t="shared" si="259"/>
        <v>0</v>
      </c>
      <c r="BO187" s="624" t="b">
        <f t="shared" si="260"/>
        <v>0</v>
      </c>
      <c r="BP187" s="624" t="b">
        <f t="shared" si="261"/>
        <v>0</v>
      </c>
      <c r="BQ187" s="624" t="b">
        <f t="shared" si="262"/>
        <v>0</v>
      </c>
    </row>
    <row r="188" spans="1:69" ht="8.25" customHeight="1">
      <c r="A188" s="1086"/>
      <c r="B188" s="872"/>
      <c r="C188" s="874"/>
      <c r="D188" s="645"/>
      <c r="E188" s="645"/>
      <c r="F188" s="644"/>
      <c r="G188" s="644"/>
      <c r="H188" s="644"/>
      <c r="I188" s="635"/>
      <c r="J188" s="644">
        <f>IF(F188&lt;=1966,'Założenia,wskaźniki, listy'!$H$4,IF(F188&gt;1966,IF(F188&lt;=1985,'Założenia,wskaźniki, listy'!$H$5,IF(F188&gt;1985,IF(F188&lt;=1992,'Założenia,wskaźniki, listy'!$H$6,IF(F188&gt;1992,IF(F188&lt;=1996,'Założenia,wskaźniki, listy'!$H$7,IF(F188&gt;1996,IF(F188&lt;=2015,'Założenia,wskaźniki, listy'!$H$8)))))))))</f>
        <v>290</v>
      </c>
      <c r="K188" s="864"/>
      <c r="L188" s="644" t="s">
        <v>79</v>
      </c>
      <c r="M188" s="644">
        <v>0.5</v>
      </c>
      <c r="N188" s="644"/>
      <c r="O188" s="637">
        <f t="shared" ref="O188" si="360">IF(P188&gt;0,(Q188+R188+P188)/2,Q188+R188)</f>
        <v>7.5</v>
      </c>
      <c r="P188" s="646">
        <f>IF(K188="kompletna",J188*G188*0.0036*'Założenia,wskaźniki, listy'!$P$9,IF(K188="częściowa",J188*G188*0.0036*'Założenia,wskaźniki, listy'!$P$10,IF(K188="brak",J188*G188*0.0036*'Założenia,wskaźniki, listy'!$P$11,0)))</f>
        <v>0</v>
      </c>
      <c r="Q188" s="638">
        <f>H188*'Założenia,wskaźniki, listy'!$L$15</f>
        <v>0</v>
      </c>
      <c r="R188" s="635">
        <f>IF(L188="węgiel",'Mieszkalne - baza'!M188*'Założenia,wskaźniki, listy'!$B$4,IF(L188="gaz",'Mieszkalne - baza'!M188*'Założenia,wskaźniki, listy'!$B$5,IF(L188="drewno",'Mieszkalne - baza'!M188*'Założenia,wskaźniki, listy'!$B$6,IF(L188="pelet",'Mieszkalne - baza'!M188*'Założenia,wskaźniki, listy'!$B$7,IF(L188="olej opałowy",'Mieszkalne - baza'!M188*'Założenia,wskaźniki, listy'!$B$8,IF(L188="sieć ciepłownicza",0,0))))))</f>
        <v>7.5</v>
      </c>
      <c r="S188" s="1085"/>
      <c r="T188" s="639">
        <f>IF(L188="węgiel",R188*'Założenia,wskaźniki, listy'!$C$44,IF(L188="gaz",R188*'Założenia,wskaźniki, listy'!$D$44,IF(L188="drewno",R188*'Założenia,wskaźniki, listy'!$E$44,IF(L188="pelet",R188*'Założenia,wskaźniki, listy'!$F$44,IF(L188="olej opałowy",R188*'Założenia,wskaźniki, listy'!$G$44,IF(L188="sieć ciepłownicza",0,IF(L188="prąd",0,0)))))))</f>
        <v>3.5999999999999999E-3</v>
      </c>
      <c r="U188" s="639">
        <f>IF(L188="węgiel",R188*'Założenia,wskaźniki, listy'!$C$45,IF(L188="gaz",R188*'Założenia,wskaźniki, listy'!$D$45,IF(L188="drewno",R188*'Założenia,wskaźniki, listy'!$E$45,IF(L188="pelet",R188*'Założenia,wskaźniki, listy'!$F$45,IF(L188="olej opałowy",R188*'Założenia,wskaźniki, listy'!$G$45,IF(L188="sieć ciepłownicza",0,IF(L188="prąd",0,0)))))))</f>
        <v>3.5249999999999999E-3</v>
      </c>
      <c r="V188" s="639">
        <f>IF(L188="węgiel",R188*'Założenia,wskaźniki, listy'!$C$46,IF(L188="gaz",R188*'Założenia,wskaźniki, listy'!$D$46,IF(L188="drewno",R188*'Założenia,wskaźniki, listy'!$E$46,IF(L188="pelet",R188*'Założenia,wskaźniki, listy'!$F$46,IF(L188="olej opałowy",R188*'Założenia,wskaźniki, listy'!$G$46,IF(L188="sieć ciepłownicza",R188*'Założenia,wskaźniki, listy'!$H$46,IF(L188="prąd",R188*'Założenia,wskaźniki, listy'!$I$46,0)))))))</f>
        <v>0</v>
      </c>
      <c r="W188" s="639">
        <f>IF(L188="węgiel",R188*'Założenia,wskaźniki, listy'!$C$47,IF(L188="gaz",R188*'Założenia,wskaźniki, listy'!$D$47,IF(L188="drewno",R188*'Założenia,wskaźniki, listy'!$E$47,IF(L188="pelet",R188*'Założenia,wskaźniki, listy'!$F$47,IF(L188="olej opałowy",R188*'Założenia,wskaźniki, listy'!$G$47,IF(L188="sieć ciepłownicza",0,IF(L188="prąd",0,0)))))))</f>
        <v>9.075000000000001E-7</v>
      </c>
      <c r="X188" s="639">
        <f>IF(L188="węgiel",R188*'Założenia,wskaźniki, listy'!$C$48, IF(L188="gaz",R188*'Założenia,wskaźniki, listy'!$D$48,IF(L188="drewno",R188*'Założenia,wskaźniki, listy'!$E$48,IF(L188="pelet",R188*'Założenia,wskaźniki, listy'!$F$48,IF(L188="olej opałowy",R188*'Założenia,wskaźniki, listy'!$G$48,IF(L188="sieć ciepłownicza",0,IF(L188="prąd",0,0)))))))</f>
        <v>8.25E-5</v>
      </c>
      <c r="Y188" s="639">
        <f>IF(L188="węgiel",R188*'Założenia,wskaźniki, listy'!$C$49, IF(L188="gaz",R188*'Założenia,wskaźniki, listy'!$D$49, IF(L188="drewno",R188*'Założenia,wskaźniki, listy'!$E$49,IF(L188="pelet",R188*'Założenia,wskaźniki, listy'!$F$49,IF(L188="olej opałowy",R188*'Założenia,wskaźniki, listy'!$G$49,IF(L188="sieć ciepłownicza",0,IF(L188="prąd",0,0)))))))</f>
        <v>6.0000000000000006E-4</v>
      </c>
      <c r="Z188" s="639">
        <f>IF(L188="węgiel",R188*'Założenia,wskaźniki, listy'!$C$50,IF(L188="gaz",R188*'Założenia,wskaźniki, listy'!$D$50, IF(L188="drewno",R188*'Założenia,wskaźniki, listy'!$E$50,IF(L188="pelet",R188*'Założenia,wskaźniki, listy'!$F$50,IF(L188="pelet",R188*'Założenia,wskaźniki, listy'!$F$50,IF(L188="olej opałowy",R188*'Założenia,wskaźniki, listy'!$G$50,IF(L188="sieć ciepłownicza",0,IF(L188="prąd",0,0))))))))</f>
        <v>1.3454999999999999E-3</v>
      </c>
      <c r="AA188" s="639">
        <f>IF(N188="węgiel",Q188*'Założenia,wskaźniki, listy'!$C$44,IF(N188="gaz",Q188*'Założenia,wskaźniki, listy'!$D$44,IF(N188="drewno",Q188*'Założenia,wskaźniki, listy'!$E$44,IF(N188="pelet",Q188*'Założenia,wskaźniki, listy'!$G$44,IF(N188="olej opałowy",Q188*'Założenia,wskaźniki, listy'!$G$44,IF(N188="sieć ciepłownicza",0,IF(N188="prąd",0,0)))))))</f>
        <v>0</v>
      </c>
      <c r="AB188" s="639">
        <f>IF(N188="węgiel",Q188*'Założenia,wskaźniki, listy'!$C$45,IF(N188="gaz",Q188*'Założenia,wskaźniki, listy'!$D$45,IF(N188="drewno",Q188*'Założenia,wskaźniki, listy'!$E$45,IF(N188="pelet",Q188*'Założenia,wskaźniki, listy'!$G$45,IF(N188="olej opałowy",Q188*'Założenia,wskaźniki, listy'!$G$45,IF(N188="sieć ciepłownicza",0,IF(N188="prąd",0,0)))))))</f>
        <v>0</v>
      </c>
      <c r="AC188" s="639">
        <f>IF(N188="węgiel",Q188*'Założenia,wskaźniki, listy'!$C$46,IF(N188="gaz",Q188*'Założenia,wskaźniki, listy'!$D$46,IF(N188="drewno",Q188*'Założenia,wskaźniki, listy'!$E$46,IF(N188="pelet",Q188*'Założenia,wskaźniki, listy'!$G$46,IF(N188="olej opałowy",Q188*'Założenia,wskaźniki, listy'!$G$46,IF(N188="sieć ciepłownicza",0,IF(N188="prąd",0,0)))))))</f>
        <v>0</v>
      </c>
      <c r="AD188" s="639">
        <f>IF(N188="węgiel",Q188*'Założenia,wskaźniki, listy'!$C$47,IF(N188="gaz",Q188*'Założenia,wskaźniki, listy'!$D$47,IF(N188="drewno",Q188*'Założenia,wskaźniki, listy'!$E$47,IF(N188="pelet",Q188*'Założenia,wskaźniki, listy'!$G$47,IF(N188="olej opałowy",Q188*'Założenia,wskaźniki, listy'!$G$47,IF(N188="sieć ciepłownicza",0,IF(N188="prąd",0,0)))))))</f>
        <v>0</v>
      </c>
      <c r="AE188" s="639">
        <f>IF(N188="węgiel",Q188*'Założenia,wskaźniki, listy'!$C$48,IF(N188="gaz",Q188*'Założenia,wskaźniki, listy'!$D$48,IF(N188="drewno",Q188*'Założenia,wskaźniki, listy'!$E$48,IF(N188="pelet",Q188*'Założenia,wskaźniki, listy'!$G$48,IF(N188="olej opałowy",Q188*'Założenia,wskaźniki, listy'!$G$48,IF(N188="sieć ciepłownicza",0,IF(N188="prąd",0,0)))))))</f>
        <v>0</v>
      </c>
      <c r="AF188" s="639">
        <f>IF(N188="węgiel",Q188*'Założenia,wskaźniki, listy'!$C$49,IF(N188="gaz",Q188*'Założenia,wskaźniki, listy'!$D$49,IF(N188="drewno",Q188*'Założenia,wskaźniki, listy'!$E$49,IF(N188="pelet",Q188*'Założenia,wskaźniki, listy'!$G$49,IF(N188="olej opałowy",Q188*'Założenia,wskaźniki, listy'!$G$49,IF(N188="sieć ciepłownicza",0,IF(N188="prąd",0,0)))))))</f>
        <v>0</v>
      </c>
      <c r="AG188" s="639">
        <f>IF(N188="węgiel",Q188*'Założenia,wskaźniki, listy'!$C$50,IF(N188="gaz",Q188*'Założenia,wskaźniki, listy'!$D$50,IF(N188="drewno",Q188*'Założenia,wskaźniki, listy'!$E$50,IF(N188="pelet",Q188*'Założenia,wskaźniki, listy'!$G$50,IF(N188="olej opałowy",Q188*'Założenia,wskaźniki, listy'!$G$50,IF(N188="sieć ciepłownicza",0,IF(N188="prąd",0,0)))))))</f>
        <v>0</v>
      </c>
      <c r="AH188" s="640">
        <f>IF(L188="węgiel",(P188+R188)/2*'Założenia,wskaźniki, listy'!$C$4,IF(L188="gaz",(P188+R188)/2*'Założenia,wskaźniki, listy'!$C$5,IF(L188="drewno",(P188+R188)/2*'Założenia,wskaźniki, listy'!$C$6,IF(L188="pelet",(P188+R188)/2*'Założenia,wskaźniki, listy'!$C$7,IF(L188="olej opałowy",(P188+R188)/2*'Założenia,wskaźniki, listy'!$C$8,IF(L188="sieć ciepłownicza",(P188+R188)/2*'Założenia,wskaźniki, listy'!$C$9,IF(L188="sieć ciepłownicza",(P188+R188)/2*'Założenia,wskaźniki, listy'!$C$10,)))))))</f>
        <v>142.5</v>
      </c>
      <c r="AI188" s="640">
        <f>IF(N188="węgiel",Q188*'Założenia,wskaźniki, listy'!$C$4,IF(N188="gaz",Q188*'Założenia,wskaźniki, listy'!$C$5,IF(N188="drewno",Q188*'Założenia,wskaźniki, listy'!$C$6,IF(N188="pelet",Q188*'Założenia,wskaźniki, listy'!$C$7,IF(N188="olej opałowy",Q188*'Założenia,wskaźniki, listy'!$C$8,IF(N188="sieć ciepłownicza",Q188*'Założenia,wskaźniki, listy'!$C$9,IF(N188="sieć ciepłownicza",Q188*'Założenia,wskaźniki, listy'!$C$10,0)))))))</f>
        <v>0</v>
      </c>
      <c r="AJ188" s="640">
        <f>S188*'Założenia,wskaźniki, listy'!$B$64*1000</f>
        <v>0</v>
      </c>
      <c r="AK188" s="640">
        <f>(H188+I188)*'Założenia,wskaźniki, listy'!$D$64*12</f>
        <v>0</v>
      </c>
      <c r="AL188" s="640">
        <f>AK188*'Założenia,wskaźniki, listy'!$F$64</f>
        <v>0</v>
      </c>
      <c r="AM188" s="639">
        <f t="shared" ref="AM188" si="361">T188+AA188</f>
        <v>3.5999999999999999E-3</v>
      </c>
      <c r="AN188" s="639">
        <f t="shared" ref="AN188" si="362">U188+AB188</f>
        <v>3.5249999999999999E-3</v>
      </c>
      <c r="AO188" s="639">
        <f>V188+AC188+S188*'Założenia,wskaźniki, listy'!$J$46</f>
        <v>0</v>
      </c>
      <c r="AP188" s="639">
        <f t="shared" ref="AP188" si="363">W188+AD188</f>
        <v>9.075000000000001E-7</v>
      </c>
      <c r="AQ188" s="639">
        <f t="shared" ref="AQ188" si="364">X188+AE188</f>
        <v>8.25E-5</v>
      </c>
      <c r="AR188" s="639">
        <f t="shared" ref="AR188" si="365">Y188+AF188</f>
        <v>6.0000000000000006E-4</v>
      </c>
      <c r="AS188" s="639">
        <f t="shared" ref="AS188" si="366">Z188+AG188</f>
        <v>1.3454999999999999E-3</v>
      </c>
      <c r="AT188" s="647"/>
      <c r="AU188" s="647"/>
      <c r="AV188" s="624">
        <f t="shared" si="241"/>
        <v>0</v>
      </c>
      <c r="AW188" s="624" t="b">
        <f t="shared" si="242"/>
        <v>0</v>
      </c>
      <c r="AX188" s="624" t="b">
        <f t="shared" si="243"/>
        <v>0</v>
      </c>
      <c r="AY188" s="624" t="b">
        <f t="shared" si="244"/>
        <v>0</v>
      </c>
      <c r="AZ188" s="624" t="b">
        <f t="shared" si="245"/>
        <v>0</v>
      </c>
      <c r="BA188" s="624" t="b">
        <f t="shared" si="246"/>
        <v>0</v>
      </c>
      <c r="BB188" s="624" t="b">
        <f t="shared" si="247"/>
        <v>0</v>
      </c>
      <c r="BC188" s="624" t="b">
        <f t="shared" si="248"/>
        <v>0</v>
      </c>
      <c r="BD188" s="624" t="b">
        <f t="shared" si="249"/>
        <v>0</v>
      </c>
      <c r="BE188" s="624" t="b">
        <f t="shared" si="250"/>
        <v>0</v>
      </c>
      <c r="BF188" s="624" t="b">
        <f t="shared" si="251"/>
        <v>0</v>
      </c>
      <c r="BG188" s="624" t="b">
        <f t="shared" si="252"/>
        <v>0</v>
      </c>
      <c r="BH188" s="624">
        <f t="shared" si="253"/>
        <v>7.5</v>
      </c>
      <c r="BI188" s="624" t="b">
        <f t="shared" si="254"/>
        <v>0</v>
      </c>
      <c r="BJ188" s="624" t="b">
        <f t="shared" si="255"/>
        <v>0</v>
      </c>
      <c r="BK188" s="624" t="b">
        <f t="shared" si="256"/>
        <v>0</v>
      </c>
      <c r="BL188" s="624" t="b">
        <f t="shared" si="257"/>
        <v>0</v>
      </c>
      <c r="BM188" s="624" t="b">
        <f t="shared" si="258"/>
        <v>0</v>
      </c>
      <c r="BN188" s="624" t="b">
        <f t="shared" si="259"/>
        <v>0</v>
      </c>
      <c r="BO188" s="624" t="b">
        <f t="shared" si="260"/>
        <v>0</v>
      </c>
      <c r="BP188" s="624" t="b">
        <f t="shared" si="261"/>
        <v>0</v>
      </c>
      <c r="BQ188" s="624" t="b">
        <f t="shared" si="262"/>
        <v>0</v>
      </c>
    </row>
    <row r="189" spans="1:69" ht="8.25" customHeight="1">
      <c r="A189" s="1086">
        <v>93</v>
      </c>
      <c r="B189" s="872" t="s">
        <v>21</v>
      </c>
      <c r="C189" s="873" t="s">
        <v>640</v>
      </c>
      <c r="D189" s="645"/>
      <c r="E189" s="645">
        <v>3</v>
      </c>
      <c r="F189" s="644">
        <v>1992</v>
      </c>
      <c r="G189" s="644">
        <v>200</v>
      </c>
      <c r="H189" s="644"/>
      <c r="I189" s="635"/>
      <c r="J189" s="644">
        <f>IF(F189&lt;=1966,'Założenia,wskaźniki, listy'!$H$4,IF(F189&gt;1966,IF(F189&lt;=1985,'Założenia,wskaźniki, listy'!$H$5,IF(F189&gt;1985,IF(F189&lt;=1992,'Założenia,wskaźniki, listy'!$H$6,IF(F189&gt;1992,IF(F189&lt;=1996,'Założenia,wskaźniki, listy'!$H$7,IF(F189&gt;1996,IF(F189&lt;=2015,'Założenia,wskaźniki, listy'!$H$8)))))))))</f>
        <v>175</v>
      </c>
      <c r="K189" s="864" t="s">
        <v>31</v>
      </c>
      <c r="L189" s="644" t="s">
        <v>8</v>
      </c>
      <c r="M189" s="644">
        <v>4.5</v>
      </c>
      <c r="N189" s="644"/>
      <c r="O189" s="637">
        <f t="shared" si="240"/>
        <v>113.8725</v>
      </c>
      <c r="P189" s="646">
        <f>IF(K189="kompletna",J189*G189*0.0036*'Założenia,wskaźniki, listy'!$P$9,IF(K189="częściowa",J189*G189*0.0036*'Założenia,wskaźniki, listy'!$P$10,IF(K189="brak",J189*G189*0.0036*'Założenia,wskaźniki, listy'!$P$11,0)))</f>
        <v>126</v>
      </c>
      <c r="Q189" s="638">
        <f>H189*'Założenia,wskaźniki, listy'!$L$15</f>
        <v>0</v>
      </c>
      <c r="R189" s="635">
        <f>IF(L189="węgiel",'Mieszkalne - baza'!M189*'Założenia,wskaźniki, listy'!$B$4,IF(L189="gaz",'Mieszkalne - baza'!M189*'Założenia,wskaźniki, listy'!$B$5,IF(L189="drewno",'Mieszkalne - baza'!M189*'Założenia,wskaźniki, listy'!$B$6,IF(L189="pelet",'Mieszkalne - baza'!M189*'Założenia,wskaźniki, listy'!$B$7,IF(L189="olej opałowy",'Mieszkalne - baza'!M189*'Założenia,wskaźniki, listy'!$B$8,IF(L189="sieć ciepłownicza",0,0))))))</f>
        <v>101.745</v>
      </c>
      <c r="S189" s="1084">
        <v>1.7484000000000002</v>
      </c>
      <c r="T189" s="639">
        <f>IF(L189="węgiel",R189*'Założenia,wskaźniki, listy'!$C$44,IF(L189="gaz",R189*'Założenia,wskaźniki, listy'!$D$44,IF(L189="drewno",R189*'Założenia,wskaźniki, listy'!$E$44,IF(L189="pelet",R189*'Założenia,wskaźniki, listy'!$F$44,IF(L189="olej opałowy",R189*'Założenia,wskaźniki, listy'!$G$44,IF(L189="sieć ciepłownicza",0,IF(L189="prąd",0,0)))))))</f>
        <v>2.2892625E-2</v>
      </c>
      <c r="U189" s="639">
        <f>IF(L189="węgiel",R189*'Założenia,wskaźniki, listy'!$C$45,IF(L189="gaz",R189*'Założenia,wskaźniki, listy'!$D$45,IF(L189="drewno",R189*'Założenia,wskaźniki, listy'!$E$45,IF(L189="pelet",R189*'Założenia,wskaźniki, listy'!$F$45,IF(L189="olej opałowy",R189*'Założenia,wskaźniki, listy'!$G$45,IF(L189="sieć ciepłownicza",0,IF(L189="prąd",0,0)))))))</f>
        <v>2.0450745000000003E-2</v>
      </c>
      <c r="V189" s="639">
        <f>IF(L189="węgiel",R189*'Założenia,wskaźniki, listy'!$C$46,IF(L189="gaz",R189*'Założenia,wskaźniki, listy'!$D$46,IF(L189="drewno",R189*'Założenia,wskaźniki, listy'!$E$46,IF(L189="pelet",R189*'Założenia,wskaźniki, listy'!$F$46,IF(L189="olej opałowy",R189*'Założenia,wskaźniki, listy'!$G$46,IF(L189="sieć ciepłownicza",R189*'Założenia,wskaźniki, listy'!$H$46,IF(L189="prąd",R189*'Założenia,wskaźniki, listy'!$I$46,0)))))))</f>
        <v>9.5375762999999996</v>
      </c>
      <c r="W189" s="639">
        <f>IF(L189="węgiel",R189*'Założenia,wskaźniki, listy'!$C$47,IF(L189="gaz",R189*'Założenia,wskaźniki, listy'!$D$47,IF(L189="drewno",R189*'Założenia,wskaźniki, listy'!$E$47,IF(L189="pelet",R189*'Założenia,wskaźniki, listy'!$F$47,IF(L189="olej opałowy",R189*'Założenia,wskaźniki, listy'!$G$47,IF(L189="sieć ciepłownicza",0,IF(L189="prąd",0,0)))))))</f>
        <v>2.7471150000000002E-5</v>
      </c>
      <c r="X189" s="639">
        <f>IF(L189="węgiel",R189*'Założenia,wskaźniki, listy'!$C$48, IF(L189="gaz",R189*'Założenia,wskaźniki, listy'!$D$48,IF(L189="drewno",R189*'Założenia,wskaźniki, listy'!$E$48,IF(L189="pelet",R189*'Założenia,wskaźniki, listy'!$F$48,IF(L189="olej opałowy",R189*'Założenia,wskaźniki, listy'!$G$48,IF(L189="sieć ciepłownicza",0,IF(L189="prąd",0,0)))))))</f>
        <v>9.1570499999999999E-2</v>
      </c>
      <c r="Y189" s="639">
        <f>IF(L189="węgiel",R189*'Założenia,wskaźniki, listy'!$C$49, IF(L189="gaz",R189*'Założenia,wskaźniki, listy'!$D$49, IF(L189="drewno",R189*'Założenia,wskaźniki, listy'!$E$49,IF(L189="pelet",R189*'Założenia,wskaźniki, listy'!$F$49,IF(L189="olej opałowy",R189*'Założenia,wskaźniki, listy'!$G$49,IF(L189="sieć ciepłownicza",0,IF(L189="prąd",0,0)))))))</f>
        <v>1.607571E-2</v>
      </c>
      <c r="Z189" s="639">
        <f>IF(L189="węgiel",R189*'Założenia,wskaźniki, listy'!$C$50,IF(L189="gaz",R189*'Założenia,wskaźniki, listy'!$D$50, IF(L189="drewno",R189*'Założenia,wskaźniki, listy'!$E$50,IF(L189="pelet",R189*'Założenia,wskaźniki, listy'!$F$50,IF(L189="pelet",R189*'Założenia,wskaźniki, listy'!$F$50,IF(L189="olej opałowy",R189*'Założenia,wskaźniki, listy'!$G$50,IF(L189="sieć ciepłownicza",0,IF(L189="prąd",0,0))))))))</f>
        <v>0.20467255252570407</v>
      </c>
      <c r="AA189" s="639">
        <f>IF(N189="węgiel",Q189*'Założenia,wskaźniki, listy'!$C$44,IF(N189="gaz",Q189*'Założenia,wskaźniki, listy'!$D$44,IF(N189="drewno",Q189*'Założenia,wskaźniki, listy'!$E$44,IF(N189="pelet",Q189*'Założenia,wskaźniki, listy'!$G$44,IF(N189="olej opałowy",Q189*'Założenia,wskaźniki, listy'!$G$44,IF(N189="sieć ciepłownicza",0,IF(N189="prąd",0,0)))))))</f>
        <v>0</v>
      </c>
      <c r="AB189" s="639">
        <f>IF(N189="węgiel",Q189*'Założenia,wskaźniki, listy'!$C$45,IF(N189="gaz",Q189*'Założenia,wskaźniki, listy'!$D$45,IF(N189="drewno",Q189*'Założenia,wskaźniki, listy'!$E$45,IF(N189="pelet",Q189*'Założenia,wskaźniki, listy'!$G$45,IF(N189="olej opałowy",Q189*'Założenia,wskaźniki, listy'!$G$45,IF(N189="sieć ciepłownicza",0,IF(N189="prąd",0,0)))))))</f>
        <v>0</v>
      </c>
      <c r="AC189" s="639">
        <f>IF(N189="węgiel",Q189*'Założenia,wskaźniki, listy'!$C$46,IF(N189="gaz",Q189*'Założenia,wskaźniki, listy'!$D$46,IF(N189="drewno",Q189*'Założenia,wskaźniki, listy'!$E$46,IF(N189="pelet",Q189*'Założenia,wskaźniki, listy'!$G$46,IF(N189="olej opałowy",Q189*'Założenia,wskaźniki, listy'!$G$46,IF(N189="sieć ciepłownicza",0,IF(N189="prąd",0,0)))))))</f>
        <v>0</v>
      </c>
      <c r="AD189" s="639">
        <f>IF(N189="węgiel",Q189*'Założenia,wskaźniki, listy'!$C$47,IF(N189="gaz",Q189*'Założenia,wskaźniki, listy'!$D$47,IF(N189="drewno",Q189*'Założenia,wskaźniki, listy'!$E$47,IF(N189="pelet",Q189*'Założenia,wskaźniki, listy'!$G$47,IF(N189="olej opałowy",Q189*'Założenia,wskaźniki, listy'!$G$47,IF(N189="sieć ciepłownicza",0,IF(N189="prąd",0,0)))))))</f>
        <v>0</v>
      </c>
      <c r="AE189" s="639">
        <f>IF(N189="węgiel",Q189*'Założenia,wskaźniki, listy'!$C$48,IF(N189="gaz",Q189*'Założenia,wskaźniki, listy'!$D$48,IF(N189="drewno",Q189*'Założenia,wskaźniki, listy'!$E$48,IF(N189="pelet",Q189*'Założenia,wskaźniki, listy'!$G$48,IF(N189="olej opałowy",Q189*'Założenia,wskaźniki, listy'!$G$48,IF(N189="sieć ciepłownicza",0,IF(N189="prąd",0,0)))))))</f>
        <v>0</v>
      </c>
      <c r="AF189" s="639">
        <f>IF(N189="węgiel",Q189*'Założenia,wskaźniki, listy'!$C$49,IF(N189="gaz",Q189*'Założenia,wskaźniki, listy'!$D$49,IF(N189="drewno",Q189*'Założenia,wskaźniki, listy'!$E$49,IF(N189="pelet",Q189*'Założenia,wskaźniki, listy'!$G$49,IF(N189="olej opałowy",Q189*'Założenia,wskaźniki, listy'!$G$49,IF(N189="sieć ciepłownicza",0,IF(N189="prąd",0,0)))))))</f>
        <v>0</v>
      </c>
      <c r="AG189" s="639">
        <f>IF(N189="węgiel",Q189*'Założenia,wskaźniki, listy'!$C$50,IF(N189="gaz",Q189*'Założenia,wskaźniki, listy'!$D$50,IF(N189="drewno",Q189*'Założenia,wskaźniki, listy'!$E$50,IF(N189="pelet",Q189*'Założenia,wskaźniki, listy'!$G$50,IF(N189="olej opałowy",Q189*'Założenia,wskaźniki, listy'!$G$50,IF(N189="sieć ciepłownicza",0,IF(N189="prąd",0,0)))))))</f>
        <v>0</v>
      </c>
      <c r="AH189" s="640">
        <f>IF(L189="węgiel",(P189+R189)/2*'Założenia,wskaźniki, listy'!$C$4,IF(L189="gaz",(P189+R189)/2*'Założenia,wskaźniki, listy'!$C$5,IF(L189="drewno",(P189+R189)/2*'Założenia,wskaźniki, listy'!$C$6,IF(L189="pelet",(P189+R189)/2*'Założenia,wskaźniki, listy'!$C$7,IF(L189="olej opałowy",(P189+R189)/2*'Założenia,wskaźniki, listy'!$C$8,IF(L189="sieć ciepłownicza",(P189+R189)/2*'Założenia,wskaźniki, listy'!$C$9,IF(L189="sieć ciepłownicza",(P189+R189)/2*'Założenia,wskaźniki, listy'!$C$10,)))))))</f>
        <v>4668.7725</v>
      </c>
      <c r="AI189" s="640">
        <f>IF(N189="węgiel",Q189*'Założenia,wskaźniki, listy'!$C$4,IF(N189="gaz",Q189*'Założenia,wskaźniki, listy'!$C$5,IF(N189="drewno",Q189*'Założenia,wskaźniki, listy'!$C$6,IF(N189="pelet",Q189*'Założenia,wskaźniki, listy'!$C$7,IF(N189="olej opałowy",Q189*'Założenia,wskaźniki, listy'!$C$8,IF(N189="sieć ciepłownicza",Q189*'Założenia,wskaźniki, listy'!$C$9,IF(N189="sieć ciepłownicza",Q189*'Założenia,wskaźniki, listy'!$C$10,0)))))))</f>
        <v>0</v>
      </c>
      <c r="AJ189" s="640">
        <f>S189*'Założenia,wskaźniki, listy'!$B$64*1000</f>
        <v>1241.364</v>
      </c>
      <c r="AK189" s="640">
        <f>(H189+I189)*'Założenia,wskaźniki, listy'!$D$64*12</f>
        <v>0</v>
      </c>
      <c r="AL189" s="640">
        <f>AK189*'Założenia,wskaźniki, listy'!$F$64</f>
        <v>0</v>
      </c>
      <c r="AM189" s="639">
        <f t="shared" si="347"/>
        <v>2.2892625E-2</v>
      </c>
      <c r="AN189" s="639">
        <f t="shared" si="348"/>
        <v>2.0450745000000003E-2</v>
      </c>
      <c r="AO189" s="639">
        <f>V189+AC189+S189*'Założenia,wskaźniki, listy'!$J$46</f>
        <v>10.9913709</v>
      </c>
      <c r="AP189" s="639">
        <f t="shared" si="349"/>
        <v>2.7471150000000002E-5</v>
      </c>
      <c r="AQ189" s="639">
        <f t="shared" si="350"/>
        <v>9.1570499999999999E-2</v>
      </c>
      <c r="AR189" s="639">
        <f t="shared" si="351"/>
        <v>1.607571E-2</v>
      </c>
      <c r="AS189" s="639">
        <f t="shared" si="352"/>
        <v>0.20467255252570407</v>
      </c>
      <c r="AT189" s="647"/>
      <c r="AU189" s="647"/>
      <c r="AV189" s="624" t="b">
        <f t="shared" si="241"/>
        <v>0</v>
      </c>
      <c r="AW189" s="624" t="b">
        <f t="shared" si="242"/>
        <v>0</v>
      </c>
      <c r="AX189" s="624" t="b">
        <f t="shared" si="243"/>
        <v>0</v>
      </c>
      <c r="AY189" s="624" t="b">
        <f t="shared" si="244"/>
        <v>0</v>
      </c>
      <c r="AZ189" s="624">
        <f t="shared" si="245"/>
        <v>200</v>
      </c>
      <c r="BA189" s="624" t="b">
        <f t="shared" si="246"/>
        <v>0</v>
      </c>
      <c r="BB189" s="624" t="b">
        <f t="shared" si="247"/>
        <v>0</v>
      </c>
      <c r="BC189" s="624" t="b">
        <f t="shared" si="248"/>
        <v>0</v>
      </c>
      <c r="BD189" s="624" t="b">
        <f t="shared" si="249"/>
        <v>0</v>
      </c>
      <c r="BE189" s="624" t="b">
        <f t="shared" si="250"/>
        <v>0</v>
      </c>
      <c r="BF189" s="624">
        <f t="shared" si="251"/>
        <v>101.745</v>
      </c>
      <c r="BG189" s="624" t="b">
        <f t="shared" si="252"/>
        <v>0</v>
      </c>
      <c r="BH189" s="624" t="b">
        <f t="shared" si="253"/>
        <v>0</v>
      </c>
      <c r="BI189" s="624" t="b">
        <f t="shared" si="254"/>
        <v>0</v>
      </c>
      <c r="BJ189" s="624" t="b">
        <f t="shared" si="255"/>
        <v>0</v>
      </c>
      <c r="BK189" s="624" t="b">
        <f t="shared" si="256"/>
        <v>0</v>
      </c>
      <c r="BL189" s="624" t="b">
        <f t="shared" si="257"/>
        <v>0</v>
      </c>
      <c r="BM189" s="624" t="b">
        <f t="shared" si="258"/>
        <v>0</v>
      </c>
      <c r="BN189" s="624" t="b">
        <f t="shared" si="259"/>
        <v>0</v>
      </c>
      <c r="BO189" s="624" t="b">
        <f t="shared" si="260"/>
        <v>0</v>
      </c>
      <c r="BP189" s="624" t="b">
        <f t="shared" si="261"/>
        <v>0</v>
      </c>
      <c r="BQ189" s="624" t="b">
        <f t="shared" si="262"/>
        <v>0</v>
      </c>
    </row>
    <row r="190" spans="1:69" ht="8.25" customHeight="1">
      <c r="A190" s="1087"/>
      <c r="B190" s="872"/>
      <c r="C190" s="872"/>
      <c r="D190" s="645"/>
      <c r="E190" s="645"/>
      <c r="F190" s="644"/>
      <c r="G190" s="644"/>
      <c r="H190" s="644"/>
      <c r="I190" s="635"/>
      <c r="J190" s="644">
        <f>IF(F190&lt;=1966,'Założenia,wskaźniki, listy'!$H$4,IF(F190&gt;1966,IF(F190&lt;=1985,'Założenia,wskaźniki, listy'!$H$5,IF(F190&gt;1985,IF(F190&lt;=1992,'Założenia,wskaźniki, listy'!$H$6,IF(F190&gt;1992,IF(F190&lt;=1996,'Założenia,wskaźniki, listy'!$H$7,IF(F190&gt;1996,IF(F190&lt;=2015,'Założenia,wskaźniki, listy'!$H$8)))))))))</f>
        <v>290</v>
      </c>
      <c r="K190" s="864"/>
      <c r="L190" s="644"/>
      <c r="M190" s="644"/>
      <c r="N190" s="644"/>
      <c r="O190" s="637">
        <f t="shared" si="240"/>
        <v>0</v>
      </c>
      <c r="P190" s="646">
        <f>IF(K190="kompletna",J190*G190*0.0036*'Założenia,wskaźniki, listy'!$P$9,IF(K190="częściowa",J190*G190*0.0036*'Założenia,wskaźniki, listy'!$P$10,IF(K190="brak",J190*G190*0.0036*'Założenia,wskaźniki, listy'!$P$11,0)))</f>
        <v>0</v>
      </c>
      <c r="Q190" s="638">
        <f>H190*'Założenia,wskaźniki, listy'!$L$15</f>
        <v>0</v>
      </c>
      <c r="R190" s="635">
        <f>IF(L190="węgiel",'Mieszkalne - baza'!M190*'Założenia,wskaźniki, listy'!$B$4,IF(L190="gaz",'Mieszkalne - baza'!M190*'Założenia,wskaźniki, listy'!$B$5,IF(L190="drewno",'Mieszkalne - baza'!M190*'Założenia,wskaźniki, listy'!$B$6,IF(L190="pelet",'Mieszkalne - baza'!M190*'Założenia,wskaźniki, listy'!$B$7,IF(L190="olej opałowy",'Mieszkalne - baza'!M190*'Założenia,wskaźniki, listy'!$B$8,IF(L190="sieć ciepłownicza",0,0))))))</f>
        <v>0</v>
      </c>
      <c r="S190" s="1085"/>
      <c r="T190" s="639">
        <f>IF(L190="węgiel",R190*'Założenia,wskaźniki, listy'!$C$44,IF(L190="gaz",R190*'Założenia,wskaźniki, listy'!$D$44,IF(L190="drewno",R190*'Założenia,wskaźniki, listy'!$E$44,IF(L190="pelet",R190*'Założenia,wskaźniki, listy'!$F$44,IF(L190="olej opałowy",R190*'Założenia,wskaźniki, listy'!$G$44,IF(L190="sieć ciepłownicza",0,IF(L190="prąd",0,0)))))))</f>
        <v>0</v>
      </c>
      <c r="U190" s="639">
        <f>IF(L190="węgiel",R190*'Założenia,wskaźniki, listy'!$C$45,IF(L190="gaz",R190*'Założenia,wskaźniki, listy'!$D$45,IF(L190="drewno",R190*'Założenia,wskaźniki, listy'!$E$45,IF(L190="pelet",R190*'Założenia,wskaźniki, listy'!$F$45,IF(L190="olej opałowy",R190*'Założenia,wskaźniki, listy'!$G$45,IF(L190="sieć ciepłownicza",0,IF(L190="prąd",0,0)))))))</f>
        <v>0</v>
      </c>
      <c r="V190" s="639">
        <f>IF(L190="węgiel",R190*'Założenia,wskaźniki, listy'!$C$46,IF(L190="gaz",R190*'Założenia,wskaźniki, listy'!$D$46,IF(L190="drewno",R190*'Założenia,wskaźniki, listy'!$E$46,IF(L190="pelet",R190*'Założenia,wskaźniki, listy'!$F$46,IF(L190="olej opałowy",R190*'Założenia,wskaźniki, listy'!$G$46,IF(L190="sieć ciepłownicza",R190*'Założenia,wskaźniki, listy'!$H$46,IF(L190="prąd",R190*'Założenia,wskaźniki, listy'!$I$46,0)))))))</f>
        <v>0</v>
      </c>
      <c r="W190" s="639">
        <f>IF(L190="węgiel",R190*'Założenia,wskaźniki, listy'!$C$47,IF(L190="gaz",R190*'Założenia,wskaźniki, listy'!$D$47,IF(L190="drewno",R190*'Założenia,wskaźniki, listy'!$E$47,IF(L190="pelet",R190*'Założenia,wskaźniki, listy'!$F$47,IF(L190="olej opałowy",R190*'Założenia,wskaźniki, listy'!$G$47,IF(L190="sieć ciepłownicza",0,IF(L190="prąd",0,0)))))))</f>
        <v>0</v>
      </c>
      <c r="X190" s="639">
        <f>IF(L190="węgiel",R190*'Założenia,wskaźniki, listy'!$C$48, IF(L190="gaz",R190*'Założenia,wskaźniki, listy'!$D$48,IF(L190="drewno",R190*'Założenia,wskaźniki, listy'!$E$48,IF(L190="pelet",R190*'Założenia,wskaźniki, listy'!$F$48,IF(L190="olej opałowy",R190*'Założenia,wskaźniki, listy'!$G$48,IF(L190="sieć ciepłownicza",0,IF(L190="prąd",0,0)))))))</f>
        <v>0</v>
      </c>
      <c r="Y190" s="639">
        <f>IF(L190="węgiel",R190*'Założenia,wskaźniki, listy'!$C$49, IF(L190="gaz",R190*'Założenia,wskaźniki, listy'!$D$49, IF(L190="drewno",R190*'Założenia,wskaźniki, listy'!$E$49,IF(L190="pelet",R190*'Założenia,wskaźniki, listy'!$F$49,IF(L190="olej opałowy",R190*'Założenia,wskaźniki, listy'!$G$49,IF(L190="sieć ciepłownicza",0,IF(L190="prąd",0,0)))))))</f>
        <v>0</v>
      </c>
      <c r="Z190" s="639">
        <f>IF(L190="węgiel",R190*'Założenia,wskaźniki, listy'!$C$50,IF(L190="gaz",R190*'Założenia,wskaźniki, listy'!$D$50, IF(L190="drewno",R190*'Założenia,wskaźniki, listy'!$E$50,IF(L190="pelet",R190*'Założenia,wskaźniki, listy'!$F$50,IF(L190="pelet",R190*'Założenia,wskaźniki, listy'!$F$50,IF(L190="olej opałowy",R190*'Założenia,wskaźniki, listy'!$G$50,IF(L190="sieć ciepłownicza",0,IF(L190="prąd",0,0))))))))</f>
        <v>0</v>
      </c>
      <c r="AA190" s="639">
        <f>IF(N190="węgiel",Q190*'Założenia,wskaźniki, listy'!$C$44,IF(N190="gaz",Q190*'Założenia,wskaźniki, listy'!$D$44,IF(N190="drewno",Q190*'Założenia,wskaźniki, listy'!$E$44,IF(N190="pelet",Q190*'Założenia,wskaźniki, listy'!$G$44,IF(N190="olej opałowy",Q190*'Założenia,wskaźniki, listy'!$G$44,IF(N190="sieć ciepłownicza",0,IF(N190="prąd",0,0)))))))</f>
        <v>0</v>
      </c>
      <c r="AB190" s="639">
        <f>IF(N190="węgiel",Q190*'Założenia,wskaźniki, listy'!$C$45,IF(N190="gaz",Q190*'Założenia,wskaźniki, listy'!$D$45,IF(N190="drewno",Q190*'Założenia,wskaźniki, listy'!$E$45,IF(N190="pelet",Q190*'Założenia,wskaźniki, listy'!$G$45,IF(N190="olej opałowy",Q190*'Założenia,wskaźniki, listy'!$G$45,IF(N190="sieć ciepłownicza",0,IF(N190="prąd",0,0)))))))</f>
        <v>0</v>
      </c>
      <c r="AC190" s="639">
        <f>IF(N190="węgiel",Q190*'Założenia,wskaźniki, listy'!$C$46,IF(N190="gaz",Q190*'Założenia,wskaźniki, listy'!$D$46,IF(N190="drewno",Q190*'Założenia,wskaźniki, listy'!$E$46,IF(N190="pelet",Q190*'Założenia,wskaźniki, listy'!$G$46,IF(N190="olej opałowy",Q190*'Założenia,wskaźniki, listy'!$G$46,IF(N190="sieć ciepłownicza",0,IF(N190="prąd",0,0)))))))</f>
        <v>0</v>
      </c>
      <c r="AD190" s="639">
        <f>IF(N190="węgiel",Q190*'Założenia,wskaźniki, listy'!$C$47,IF(N190="gaz",Q190*'Założenia,wskaźniki, listy'!$D$47,IF(N190="drewno",Q190*'Założenia,wskaźniki, listy'!$E$47,IF(N190="pelet",Q190*'Założenia,wskaźniki, listy'!$G$47,IF(N190="olej opałowy",Q190*'Założenia,wskaźniki, listy'!$G$47,IF(N190="sieć ciepłownicza",0,IF(N190="prąd",0,0)))))))</f>
        <v>0</v>
      </c>
      <c r="AE190" s="639">
        <f>IF(N190="węgiel",Q190*'Założenia,wskaźniki, listy'!$C$48,IF(N190="gaz",Q190*'Założenia,wskaźniki, listy'!$D$48,IF(N190="drewno",Q190*'Założenia,wskaźniki, listy'!$E$48,IF(N190="pelet",Q190*'Założenia,wskaźniki, listy'!$G$48,IF(N190="olej opałowy",Q190*'Założenia,wskaźniki, listy'!$G$48,IF(N190="sieć ciepłownicza",0,IF(N190="prąd",0,0)))))))</f>
        <v>0</v>
      </c>
      <c r="AF190" s="639">
        <f>IF(N190="węgiel",Q190*'Założenia,wskaźniki, listy'!$C$49,IF(N190="gaz",Q190*'Założenia,wskaźniki, listy'!$D$49,IF(N190="drewno",Q190*'Założenia,wskaźniki, listy'!$E$49,IF(N190="pelet",Q190*'Założenia,wskaźniki, listy'!$G$49,IF(N190="olej opałowy",Q190*'Założenia,wskaźniki, listy'!$G$49,IF(N190="sieć ciepłownicza",0,IF(N190="prąd",0,0)))))))</f>
        <v>0</v>
      </c>
      <c r="AG190" s="639">
        <f>IF(N190="węgiel",Q190*'Założenia,wskaźniki, listy'!$C$50,IF(N190="gaz",Q190*'Założenia,wskaźniki, listy'!$D$50,IF(N190="drewno",Q190*'Założenia,wskaźniki, listy'!$E$50,IF(N190="pelet",Q190*'Założenia,wskaźniki, listy'!$G$50,IF(N190="olej opałowy",Q190*'Założenia,wskaźniki, listy'!$G$50,IF(N190="sieć ciepłownicza",0,IF(N190="prąd",0,0)))))))</f>
        <v>0</v>
      </c>
      <c r="AH190" s="640">
        <f>IF(L190="węgiel",(P190+R190)/2*'Założenia,wskaźniki, listy'!$C$4,IF(L190="gaz",(P190+R190)/2*'Założenia,wskaźniki, listy'!$C$5,IF(L190="drewno",(P190+R190)/2*'Założenia,wskaźniki, listy'!$C$6,IF(L190="pelet",(P190+R190)/2*'Założenia,wskaźniki, listy'!$C$7,IF(L190="olej opałowy",(P190+R190)/2*'Założenia,wskaźniki, listy'!$C$8,IF(L190="sieć ciepłownicza",(P190+R190)/2*'Założenia,wskaźniki, listy'!$C$9,IF(L190="sieć ciepłownicza",(P190+R190)/2*'Założenia,wskaźniki, listy'!$C$10,)))))))</f>
        <v>0</v>
      </c>
      <c r="AI190" s="640">
        <f>IF(N190="węgiel",Q190*'Założenia,wskaźniki, listy'!$C$4,IF(N190="gaz",Q190*'Założenia,wskaźniki, listy'!$C$5,IF(N190="drewno",Q190*'Założenia,wskaźniki, listy'!$C$6,IF(N190="pelet",Q190*'Założenia,wskaźniki, listy'!$C$7,IF(N190="olej opałowy",Q190*'Założenia,wskaźniki, listy'!$C$8,IF(N190="sieć ciepłownicza",Q190*'Założenia,wskaźniki, listy'!$C$9,IF(N190="sieć ciepłownicza",Q190*'Założenia,wskaźniki, listy'!$C$10,0)))))))</f>
        <v>0</v>
      </c>
      <c r="AJ190" s="640">
        <f>S190*'Założenia,wskaźniki, listy'!$B$64*1000</f>
        <v>0</v>
      </c>
      <c r="AK190" s="640">
        <f>(H190+I190)*'Założenia,wskaźniki, listy'!$D$64*12</f>
        <v>0</v>
      </c>
      <c r="AL190" s="640">
        <f>AK190*'Założenia,wskaźniki, listy'!$F$64</f>
        <v>0</v>
      </c>
      <c r="AM190" s="639">
        <f t="shared" si="347"/>
        <v>0</v>
      </c>
      <c r="AN190" s="639">
        <f t="shared" si="348"/>
        <v>0</v>
      </c>
      <c r="AO190" s="639">
        <f>V190+AC190+S190*'Założenia,wskaźniki, listy'!$J$46</f>
        <v>0</v>
      </c>
      <c r="AP190" s="639">
        <f t="shared" si="349"/>
        <v>0</v>
      </c>
      <c r="AQ190" s="639">
        <f t="shared" si="350"/>
        <v>0</v>
      </c>
      <c r="AR190" s="639">
        <f t="shared" si="351"/>
        <v>0</v>
      </c>
      <c r="AS190" s="639">
        <f t="shared" si="352"/>
        <v>0</v>
      </c>
      <c r="AT190" s="647"/>
      <c r="AU190" s="647"/>
      <c r="AV190" s="624">
        <f t="shared" si="241"/>
        <v>0</v>
      </c>
      <c r="AW190" s="624" t="b">
        <f t="shared" si="242"/>
        <v>0</v>
      </c>
      <c r="AX190" s="624" t="b">
        <f t="shared" si="243"/>
        <v>0</v>
      </c>
      <c r="AY190" s="624" t="b">
        <f t="shared" si="244"/>
        <v>0</v>
      </c>
      <c r="AZ190" s="624" t="b">
        <f t="shared" si="245"/>
        <v>0</v>
      </c>
      <c r="BA190" s="624" t="b">
        <f t="shared" si="246"/>
        <v>0</v>
      </c>
      <c r="BB190" s="624" t="b">
        <f t="shared" si="247"/>
        <v>0</v>
      </c>
      <c r="BC190" s="624" t="b">
        <f t="shared" si="248"/>
        <v>0</v>
      </c>
      <c r="BD190" s="624" t="b">
        <f t="shared" si="249"/>
        <v>0</v>
      </c>
      <c r="BE190" s="624" t="b">
        <f t="shared" si="250"/>
        <v>0</v>
      </c>
      <c r="BF190" s="624" t="b">
        <f t="shared" si="251"/>
        <v>0</v>
      </c>
      <c r="BG190" s="624" t="b">
        <f t="shared" si="252"/>
        <v>0</v>
      </c>
      <c r="BH190" s="624" t="b">
        <f t="shared" si="253"/>
        <v>0</v>
      </c>
      <c r="BI190" s="624" t="b">
        <f t="shared" si="254"/>
        <v>0</v>
      </c>
      <c r="BJ190" s="624" t="b">
        <f t="shared" si="255"/>
        <v>0</v>
      </c>
      <c r="BK190" s="624" t="b">
        <f t="shared" si="256"/>
        <v>0</v>
      </c>
      <c r="BL190" s="624" t="b">
        <f t="shared" si="257"/>
        <v>0</v>
      </c>
      <c r="BM190" s="624" t="b">
        <f t="shared" si="258"/>
        <v>0</v>
      </c>
      <c r="BN190" s="624" t="b">
        <f t="shared" si="259"/>
        <v>0</v>
      </c>
      <c r="BO190" s="624" t="b">
        <f t="shared" si="260"/>
        <v>0</v>
      </c>
      <c r="BP190" s="624" t="b">
        <f t="shared" si="261"/>
        <v>0</v>
      </c>
      <c r="BQ190" s="624" t="b">
        <f t="shared" si="262"/>
        <v>0</v>
      </c>
    </row>
    <row r="191" spans="1:69" ht="8.25" customHeight="1">
      <c r="A191" s="1086">
        <v>94</v>
      </c>
      <c r="B191" s="872" t="s">
        <v>21</v>
      </c>
      <c r="C191" s="873" t="s">
        <v>640</v>
      </c>
      <c r="D191" s="645"/>
      <c r="E191" s="645">
        <v>4</v>
      </c>
      <c r="F191" s="872">
        <v>1992</v>
      </c>
      <c r="G191" s="872">
        <v>200</v>
      </c>
      <c r="H191" s="872"/>
      <c r="I191" s="873"/>
      <c r="J191" s="872">
        <f>IF(F191&lt;=1966,'Założenia,wskaźniki, listy'!$H$4,IF(F191&gt;1966,IF(F191&lt;=1985,'Założenia,wskaźniki, listy'!$H$5,IF(F191&gt;1985,IF(F191&lt;=1992,'Założenia,wskaźniki, listy'!$H$6,IF(F191&gt;1992,IF(F191&lt;=1996,'Założenia,wskaźniki, listy'!$H$7,IF(F191&gt;1996,IF(F191&lt;=2015,'Założenia,wskaźniki, listy'!$H$8)))))))))</f>
        <v>175</v>
      </c>
      <c r="K191" s="864" t="s">
        <v>31</v>
      </c>
      <c r="L191" s="872" t="s">
        <v>8</v>
      </c>
      <c r="M191" s="872">
        <v>4.5</v>
      </c>
      <c r="N191" s="644"/>
      <c r="O191" s="637">
        <f t="shared" si="240"/>
        <v>113.8725</v>
      </c>
      <c r="P191" s="646">
        <f>IF(K191="kompletna",J191*G191*0.0036*'Założenia,wskaźniki, listy'!$P$9,IF(K191="częściowa",J191*G191*0.0036*'Założenia,wskaźniki, listy'!$P$10,IF(K191="brak",J191*G191*0.0036*'Założenia,wskaźniki, listy'!$P$11,0)))</f>
        <v>126</v>
      </c>
      <c r="Q191" s="638">
        <f>H191*'Założenia,wskaźniki, listy'!$L$15</f>
        <v>0</v>
      </c>
      <c r="R191" s="635">
        <f>IF(L191="węgiel",'Mieszkalne - baza'!M191*'Założenia,wskaźniki, listy'!$B$4,IF(L191="gaz",'Mieszkalne - baza'!M191*'Założenia,wskaźniki, listy'!$B$5,IF(L191="drewno",'Mieszkalne - baza'!M191*'Założenia,wskaźniki, listy'!$B$6,IF(L191="pelet",'Mieszkalne - baza'!M191*'Założenia,wskaźniki, listy'!$B$7,IF(L191="olej opałowy",'Mieszkalne - baza'!M191*'Założenia,wskaźniki, listy'!$B$8,IF(L191="sieć ciepłownicza",0,0))))))</f>
        <v>101.745</v>
      </c>
      <c r="S191" s="1084">
        <v>1.974</v>
      </c>
      <c r="T191" s="639">
        <f>IF(L191="węgiel",R191*'Założenia,wskaźniki, listy'!$C$44,IF(L191="gaz",R191*'Założenia,wskaźniki, listy'!$D$44,IF(L191="drewno",R191*'Założenia,wskaźniki, listy'!$E$44,IF(L191="pelet",R191*'Założenia,wskaźniki, listy'!$F$44,IF(L191="olej opałowy",R191*'Założenia,wskaźniki, listy'!$G$44,IF(L191="sieć ciepłownicza",0,IF(L191="prąd",0,0)))))))</f>
        <v>2.2892625E-2</v>
      </c>
      <c r="U191" s="639">
        <f>IF(L191="węgiel",R191*'Założenia,wskaźniki, listy'!$C$45,IF(L191="gaz",R191*'Założenia,wskaźniki, listy'!$D$45,IF(L191="drewno",R191*'Założenia,wskaźniki, listy'!$E$45,IF(L191="pelet",R191*'Założenia,wskaźniki, listy'!$F$45,IF(L191="olej opałowy",R191*'Założenia,wskaźniki, listy'!$G$45,IF(L191="sieć ciepłownicza",0,IF(L191="prąd",0,0)))))))</f>
        <v>2.0450745000000003E-2</v>
      </c>
      <c r="V191" s="639">
        <f>IF(L191="węgiel",R191*'Założenia,wskaźniki, listy'!$C$46,IF(L191="gaz",R191*'Założenia,wskaźniki, listy'!$D$46,IF(L191="drewno",R191*'Założenia,wskaźniki, listy'!$E$46,IF(L191="pelet",R191*'Założenia,wskaźniki, listy'!$F$46,IF(L191="olej opałowy",R191*'Założenia,wskaźniki, listy'!$G$46,IF(L191="sieć ciepłownicza",R191*'Założenia,wskaźniki, listy'!$H$46,IF(L191="prąd",R191*'Założenia,wskaźniki, listy'!$I$46,0)))))))</f>
        <v>9.5375762999999996</v>
      </c>
      <c r="W191" s="639">
        <f>IF(L191="węgiel",R191*'Założenia,wskaźniki, listy'!$C$47,IF(L191="gaz",R191*'Założenia,wskaźniki, listy'!$D$47,IF(L191="drewno",R191*'Założenia,wskaźniki, listy'!$E$47,IF(L191="pelet",R191*'Założenia,wskaźniki, listy'!$F$47,IF(L191="olej opałowy",R191*'Założenia,wskaźniki, listy'!$G$47,IF(L191="sieć ciepłownicza",0,IF(L191="prąd",0,0)))))))</f>
        <v>2.7471150000000002E-5</v>
      </c>
      <c r="X191" s="639">
        <f>IF(L191="węgiel",R191*'Założenia,wskaźniki, listy'!$C$48, IF(L191="gaz",R191*'Założenia,wskaźniki, listy'!$D$48,IF(L191="drewno",R191*'Założenia,wskaźniki, listy'!$E$48,IF(L191="pelet",R191*'Założenia,wskaźniki, listy'!$F$48,IF(L191="olej opałowy",R191*'Założenia,wskaźniki, listy'!$G$48,IF(L191="sieć ciepłownicza",0,IF(L191="prąd",0,0)))))))</f>
        <v>9.1570499999999999E-2</v>
      </c>
      <c r="Y191" s="639">
        <f>IF(L191="węgiel",R191*'Założenia,wskaźniki, listy'!$C$49, IF(L191="gaz",R191*'Założenia,wskaźniki, listy'!$D$49, IF(L191="drewno",R191*'Założenia,wskaźniki, listy'!$E$49,IF(L191="pelet",R191*'Założenia,wskaźniki, listy'!$F$49,IF(L191="olej opałowy",R191*'Założenia,wskaźniki, listy'!$G$49,IF(L191="sieć ciepłownicza",0,IF(L191="prąd",0,0)))))))</f>
        <v>1.607571E-2</v>
      </c>
      <c r="Z191" s="639">
        <f>IF(L191="węgiel",R191*'Założenia,wskaźniki, listy'!$C$50,IF(L191="gaz",R191*'Założenia,wskaźniki, listy'!$D$50, IF(L191="drewno",R191*'Założenia,wskaźniki, listy'!$E$50,IF(L191="pelet",R191*'Założenia,wskaźniki, listy'!$F$50,IF(L191="pelet",R191*'Założenia,wskaźniki, listy'!$F$50,IF(L191="olej opałowy",R191*'Założenia,wskaźniki, listy'!$G$50,IF(L191="sieć ciepłownicza",0,IF(L191="prąd",0,0))))))))</f>
        <v>0.20467255252570407</v>
      </c>
      <c r="AA191" s="639">
        <f>IF(N191="węgiel",Q191*'Założenia,wskaźniki, listy'!$C$44,IF(N191="gaz",Q191*'Założenia,wskaźniki, listy'!$D$44,IF(N191="drewno",Q191*'Założenia,wskaźniki, listy'!$E$44,IF(N191="pelet",Q191*'Założenia,wskaźniki, listy'!$G$44,IF(N191="olej opałowy",Q191*'Założenia,wskaźniki, listy'!$G$44,IF(N191="sieć ciepłownicza",0,IF(N191="prąd",0,0)))))))</f>
        <v>0</v>
      </c>
      <c r="AB191" s="639">
        <f>IF(N191="węgiel",Q191*'Założenia,wskaźniki, listy'!$C$45,IF(N191="gaz",Q191*'Założenia,wskaźniki, listy'!$D$45,IF(N191="drewno",Q191*'Założenia,wskaźniki, listy'!$E$45,IF(N191="pelet",Q191*'Założenia,wskaźniki, listy'!$G$45,IF(N191="olej opałowy",Q191*'Założenia,wskaźniki, listy'!$G$45,IF(N191="sieć ciepłownicza",0,IF(N191="prąd",0,0)))))))</f>
        <v>0</v>
      </c>
      <c r="AC191" s="639">
        <f>IF(N191="węgiel",Q191*'Założenia,wskaźniki, listy'!$C$46,IF(N191="gaz",Q191*'Założenia,wskaźniki, listy'!$D$46,IF(N191="drewno",Q191*'Założenia,wskaźniki, listy'!$E$46,IF(N191="pelet",Q191*'Założenia,wskaźniki, listy'!$G$46,IF(N191="olej opałowy",Q191*'Założenia,wskaźniki, listy'!$G$46,IF(N191="sieć ciepłownicza",0,IF(N191="prąd",0,0)))))))</f>
        <v>0</v>
      </c>
      <c r="AD191" s="639">
        <f>IF(N191="węgiel",Q191*'Założenia,wskaźniki, listy'!$C$47,IF(N191="gaz",Q191*'Założenia,wskaźniki, listy'!$D$47,IF(N191="drewno",Q191*'Założenia,wskaźniki, listy'!$E$47,IF(N191="pelet",Q191*'Założenia,wskaźniki, listy'!$G$47,IF(N191="olej opałowy",Q191*'Założenia,wskaźniki, listy'!$G$47,IF(N191="sieć ciepłownicza",0,IF(N191="prąd",0,0)))))))</f>
        <v>0</v>
      </c>
      <c r="AE191" s="639">
        <f>IF(N191="węgiel",Q191*'Założenia,wskaźniki, listy'!$C$48,IF(N191="gaz",Q191*'Założenia,wskaźniki, listy'!$D$48,IF(N191="drewno",Q191*'Założenia,wskaźniki, listy'!$E$48,IF(N191="pelet",Q191*'Założenia,wskaźniki, listy'!$G$48,IF(N191="olej opałowy",Q191*'Założenia,wskaźniki, listy'!$G$48,IF(N191="sieć ciepłownicza",0,IF(N191="prąd",0,0)))))))</f>
        <v>0</v>
      </c>
      <c r="AF191" s="639">
        <f>IF(N191="węgiel",Q191*'Założenia,wskaźniki, listy'!$C$49,IF(N191="gaz",Q191*'Założenia,wskaźniki, listy'!$D$49,IF(N191="drewno",Q191*'Założenia,wskaźniki, listy'!$E$49,IF(N191="pelet",Q191*'Założenia,wskaźniki, listy'!$G$49,IF(N191="olej opałowy",Q191*'Założenia,wskaźniki, listy'!$G$49,IF(N191="sieć ciepłownicza",0,IF(N191="prąd",0,0)))))))</f>
        <v>0</v>
      </c>
      <c r="AG191" s="639">
        <f>IF(N191="węgiel",Q191*'Założenia,wskaźniki, listy'!$C$50,IF(N191="gaz",Q191*'Założenia,wskaźniki, listy'!$D$50,IF(N191="drewno",Q191*'Założenia,wskaźniki, listy'!$E$50,IF(N191="pelet",Q191*'Założenia,wskaźniki, listy'!$G$50,IF(N191="olej opałowy",Q191*'Założenia,wskaźniki, listy'!$G$50,IF(N191="sieć ciepłownicza",0,IF(N191="prąd",0,0)))))))</f>
        <v>0</v>
      </c>
      <c r="AH191" s="640">
        <f>IF(L191="węgiel",(P191+R191)/2*'Założenia,wskaźniki, listy'!$C$4,IF(L191="gaz",(P191+R191)/2*'Założenia,wskaźniki, listy'!$C$5,IF(L191="drewno",(P191+R191)/2*'Założenia,wskaźniki, listy'!$C$6,IF(L191="pelet",(P191+R191)/2*'Założenia,wskaźniki, listy'!$C$7,IF(L191="olej opałowy",(P191+R191)/2*'Założenia,wskaźniki, listy'!$C$8,IF(L191="sieć ciepłownicza",(P191+R191)/2*'Założenia,wskaźniki, listy'!$C$9,IF(L191="sieć ciepłownicza",(P191+R191)/2*'Założenia,wskaźniki, listy'!$C$10,)))))))</f>
        <v>4668.7725</v>
      </c>
      <c r="AI191" s="640">
        <f>IF(N191="węgiel",Q191*'Założenia,wskaźniki, listy'!$C$4,IF(N191="gaz",Q191*'Założenia,wskaźniki, listy'!$C$5,IF(N191="drewno",Q191*'Założenia,wskaźniki, listy'!$C$6,IF(N191="pelet",Q191*'Założenia,wskaźniki, listy'!$C$7,IF(N191="olej opałowy",Q191*'Założenia,wskaźniki, listy'!$C$8,IF(N191="sieć ciepłownicza",Q191*'Założenia,wskaźniki, listy'!$C$9,IF(N191="sieć ciepłownicza",Q191*'Założenia,wskaźniki, listy'!$C$10,0)))))))</f>
        <v>0</v>
      </c>
      <c r="AJ191" s="640">
        <f>S191*'Założenia,wskaźniki, listy'!$B$64*1000</f>
        <v>1401.54</v>
      </c>
      <c r="AK191" s="640">
        <f>(H191+I191)*'Założenia,wskaźniki, listy'!$D$64*12</f>
        <v>0</v>
      </c>
      <c r="AL191" s="640">
        <f>AK191*'Założenia,wskaźniki, listy'!$F$64</f>
        <v>0</v>
      </c>
      <c r="AM191" s="639">
        <f t="shared" si="347"/>
        <v>2.2892625E-2</v>
      </c>
      <c r="AN191" s="639">
        <f t="shared" si="348"/>
        <v>2.0450745000000003E-2</v>
      </c>
      <c r="AO191" s="639">
        <f>V191+AC191+S191*'Założenia,wskaźniki, listy'!$J$46</f>
        <v>11.1789573</v>
      </c>
      <c r="AP191" s="639">
        <f t="shared" si="349"/>
        <v>2.7471150000000002E-5</v>
      </c>
      <c r="AQ191" s="639">
        <f t="shared" si="350"/>
        <v>9.1570499999999999E-2</v>
      </c>
      <c r="AR191" s="639">
        <f t="shared" si="351"/>
        <v>1.607571E-2</v>
      </c>
      <c r="AS191" s="639">
        <f t="shared" si="352"/>
        <v>0.20467255252570407</v>
      </c>
      <c r="AT191" s="647"/>
      <c r="AU191" s="647"/>
      <c r="AV191" s="624" t="b">
        <f t="shared" si="241"/>
        <v>0</v>
      </c>
      <c r="AW191" s="624" t="b">
        <f t="shared" si="242"/>
        <v>0</v>
      </c>
      <c r="AX191" s="624" t="b">
        <f t="shared" si="243"/>
        <v>0</v>
      </c>
      <c r="AY191" s="624" t="b">
        <f t="shared" si="244"/>
        <v>0</v>
      </c>
      <c r="AZ191" s="624">
        <f t="shared" si="245"/>
        <v>200</v>
      </c>
      <c r="BA191" s="624" t="b">
        <f t="shared" si="246"/>
        <v>0</v>
      </c>
      <c r="BB191" s="624" t="b">
        <f t="shared" si="247"/>
        <v>0</v>
      </c>
      <c r="BC191" s="624" t="b">
        <f t="shared" si="248"/>
        <v>0</v>
      </c>
      <c r="BD191" s="624" t="b">
        <f t="shared" si="249"/>
        <v>0</v>
      </c>
      <c r="BE191" s="624" t="b">
        <f t="shared" si="250"/>
        <v>0</v>
      </c>
      <c r="BF191" s="624">
        <f t="shared" si="251"/>
        <v>101.745</v>
      </c>
      <c r="BG191" s="624" t="b">
        <f t="shared" si="252"/>
        <v>0</v>
      </c>
      <c r="BH191" s="624" t="b">
        <f t="shared" si="253"/>
        <v>0</v>
      </c>
      <c r="BI191" s="624" t="b">
        <f t="shared" si="254"/>
        <v>0</v>
      </c>
      <c r="BJ191" s="624" t="b">
        <f t="shared" si="255"/>
        <v>0</v>
      </c>
      <c r="BK191" s="624" t="b">
        <f t="shared" si="256"/>
        <v>0</v>
      </c>
      <c r="BL191" s="624" t="b">
        <f t="shared" si="257"/>
        <v>0</v>
      </c>
      <c r="BM191" s="624" t="b">
        <f t="shared" si="258"/>
        <v>0</v>
      </c>
      <c r="BN191" s="624" t="b">
        <f t="shared" si="259"/>
        <v>0</v>
      </c>
      <c r="BO191" s="624" t="b">
        <f t="shared" si="260"/>
        <v>0</v>
      </c>
      <c r="BP191" s="624" t="b">
        <f t="shared" si="261"/>
        <v>0</v>
      </c>
      <c r="BQ191" s="624" t="b">
        <f t="shared" si="262"/>
        <v>0</v>
      </c>
    </row>
    <row r="192" spans="1:69" ht="8.25" customHeight="1">
      <c r="A192" s="1087"/>
      <c r="B192" s="872"/>
      <c r="C192" s="644"/>
      <c r="D192" s="645"/>
      <c r="E192" s="645"/>
      <c r="F192" s="644"/>
      <c r="G192" s="644"/>
      <c r="H192" s="644"/>
      <c r="I192" s="635"/>
      <c r="J192" s="644">
        <f>IF(F192&lt;=1966,'Założenia,wskaźniki, listy'!$H$4,IF(F192&gt;1966,IF(F192&lt;=1985,'Założenia,wskaźniki, listy'!$H$5,IF(F192&gt;1985,IF(F192&lt;=1992,'Założenia,wskaźniki, listy'!$H$6,IF(F192&gt;1992,IF(F192&lt;=1996,'Założenia,wskaźniki, listy'!$H$7,IF(F192&gt;1996,IF(F192&lt;=2015,'Założenia,wskaźniki, listy'!$H$8)))))))))</f>
        <v>290</v>
      </c>
      <c r="K192" s="864"/>
      <c r="L192" s="644"/>
      <c r="M192" s="644"/>
      <c r="N192" s="644"/>
      <c r="O192" s="637">
        <f t="shared" si="240"/>
        <v>0</v>
      </c>
      <c r="P192" s="646">
        <f>IF(K192="kompletna",J192*G192*0.0036*'Założenia,wskaźniki, listy'!$P$9,IF(K192="częściowa",J192*G192*0.0036*'Założenia,wskaźniki, listy'!$P$10,IF(K192="brak",J192*G192*0.0036*'Założenia,wskaźniki, listy'!$P$11,0)))</f>
        <v>0</v>
      </c>
      <c r="Q192" s="638">
        <f>H192*'Założenia,wskaźniki, listy'!$L$15</f>
        <v>0</v>
      </c>
      <c r="R192" s="635">
        <f>IF(L192="węgiel",'Mieszkalne - baza'!M192*'Założenia,wskaźniki, listy'!$B$4,IF(L192="gaz",'Mieszkalne - baza'!M192*'Założenia,wskaźniki, listy'!$B$5,IF(L192="drewno",'Mieszkalne - baza'!M192*'Założenia,wskaźniki, listy'!$B$6,IF(L192="pelet",'Mieszkalne - baza'!M192*'Założenia,wskaźniki, listy'!$B$7,IF(L192="olej opałowy",'Mieszkalne - baza'!M192*'Założenia,wskaźniki, listy'!$B$8,IF(L192="sieć ciepłownicza",0,0))))))</f>
        <v>0</v>
      </c>
      <c r="S192" s="1085"/>
      <c r="T192" s="639">
        <f>IF(L192="węgiel",R192*'Założenia,wskaźniki, listy'!$C$44,IF(L192="gaz",R192*'Założenia,wskaźniki, listy'!$D$44,IF(L192="drewno",R192*'Założenia,wskaźniki, listy'!$E$44,IF(L192="pelet",R192*'Założenia,wskaźniki, listy'!$F$44,IF(L192="olej opałowy",R192*'Założenia,wskaźniki, listy'!$G$44,IF(L192="sieć ciepłownicza",0,IF(L192="prąd",0,0)))))))</f>
        <v>0</v>
      </c>
      <c r="U192" s="639">
        <f>IF(L192="węgiel",R192*'Założenia,wskaźniki, listy'!$C$45,IF(L192="gaz",R192*'Założenia,wskaźniki, listy'!$D$45,IF(L192="drewno",R192*'Założenia,wskaźniki, listy'!$E$45,IF(L192="pelet",R192*'Założenia,wskaźniki, listy'!$F$45,IF(L192="olej opałowy",R192*'Założenia,wskaźniki, listy'!$G$45,IF(L192="sieć ciepłownicza",0,IF(L192="prąd",0,0)))))))</f>
        <v>0</v>
      </c>
      <c r="V192" s="639">
        <f>IF(L192="węgiel",R192*'Założenia,wskaźniki, listy'!$C$46,IF(L192="gaz",R192*'Założenia,wskaźniki, listy'!$D$46,IF(L192="drewno",R192*'Założenia,wskaźniki, listy'!$E$46,IF(L192="pelet",R192*'Założenia,wskaźniki, listy'!$F$46,IF(L192="olej opałowy",R192*'Założenia,wskaźniki, listy'!$G$46,IF(L192="sieć ciepłownicza",R192*'Założenia,wskaźniki, listy'!$H$46,IF(L192="prąd",R192*'Założenia,wskaźniki, listy'!$I$46,0)))))))</f>
        <v>0</v>
      </c>
      <c r="W192" s="639">
        <f>IF(L192="węgiel",R192*'Założenia,wskaźniki, listy'!$C$47,IF(L192="gaz",R192*'Założenia,wskaźniki, listy'!$D$47,IF(L192="drewno",R192*'Założenia,wskaźniki, listy'!$E$47,IF(L192="pelet",R192*'Założenia,wskaźniki, listy'!$F$47,IF(L192="olej opałowy",R192*'Założenia,wskaźniki, listy'!$G$47,IF(L192="sieć ciepłownicza",0,IF(L192="prąd",0,0)))))))</f>
        <v>0</v>
      </c>
      <c r="X192" s="639">
        <f>IF(L192="węgiel",R192*'Założenia,wskaźniki, listy'!$C$48, IF(L192="gaz",R192*'Założenia,wskaźniki, listy'!$D$48,IF(L192="drewno",R192*'Założenia,wskaźniki, listy'!$E$48,IF(L192="pelet",R192*'Założenia,wskaźniki, listy'!$F$48,IF(L192="olej opałowy",R192*'Założenia,wskaźniki, listy'!$G$48,IF(L192="sieć ciepłownicza",0,IF(L192="prąd",0,0)))))))</f>
        <v>0</v>
      </c>
      <c r="Y192" s="639">
        <f>IF(L192="węgiel",R192*'Założenia,wskaźniki, listy'!$C$49, IF(L192="gaz",R192*'Założenia,wskaźniki, listy'!$D$49, IF(L192="drewno",R192*'Założenia,wskaźniki, listy'!$E$49,IF(L192="pelet",R192*'Założenia,wskaźniki, listy'!$F$49,IF(L192="olej opałowy",R192*'Założenia,wskaźniki, listy'!$G$49,IF(L192="sieć ciepłownicza",0,IF(L192="prąd",0,0)))))))</f>
        <v>0</v>
      </c>
      <c r="Z192" s="639">
        <f>IF(L192="węgiel",R192*'Założenia,wskaźniki, listy'!$C$50,IF(L192="gaz",R192*'Założenia,wskaźniki, listy'!$D$50, IF(L192="drewno",R192*'Założenia,wskaźniki, listy'!$E$50,IF(L192="pelet",R192*'Założenia,wskaźniki, listy'!$F$50,IF(L192="pelet",R192*'Założenia,wskaźniki, listy'!$F$50,IF(L192="olej opałowy",R192*'Założenia,wskaźniki, listy'!$G$50,IF(L192="sieć ciepłownicza",0,IF(L192="prąd",0,0))))))))</f>
        <v>0</v>
      </c>
      <c r="AA192" s="639">
        <f>IF(N192="węgiel",Q192*'Założenia,wskaźniki, listy'!$C$44,IF(N192="gaz",Q192*'Założenia,wskaźniki, listy'!$D$44,IF(N192="drewno",Q192*'Założenia,wskaźniki, listy'!$E$44,IF(N192="pelet",Q192*'Założenia,wskaźniki, listy'!$G$44,IF(N192="olej opałowy",Q192*'Założenia,wskaźniki, listy'!$G$44,IF(N192="sieć ciepłownicza",0,IF(N192="prąd",0,0)))))))</f>
        <v>0</v>
      </c>
      <c r="AB192" s="639">
        <f>IF(N192="węgiel",Q192*'Założenia,wskaźniki, listy'!$C$45,IF(N192="gaz",Q192*'Założenia,wskaźniki, listy'!$D$45,IF(N192="drewno",Q192*'Założenia,wskaźniki, listy'!$E$45,IF(N192="pelet",Q192*'Założenia,wskaźniki, listy'!$G$45,IF(N192="olej opałowy",Q192*'Założenia,wskaźniki, listy'!$G$45,IF(N192="sieć ciepłownicza",0,IF(N192="prąd",0,0)))))))</f>
        <v>0</v>
      </c>
      <c r="AC192" s="639">
        <f>IF(N192="węgiel",Q192*'Założenia,wskaźniki, listy'!$C$46,IF(N192="gaz",Q192*'Założenia,wskaźniki, listy'!$D$46,IF(N192="drewno",Q192*'Założenia,wskaźniki, listy'!$E$46,IF(N192="pelet",Q192*'Założenia,wskaźniki, listy'!$G$46,IF(N192="olej opałowy",Q192*'Założenia,wskaźniki, listy'!$G$46,IF(N192="sieć ciepłownicza",0,IF(N192="prąd",0,0)))))))</f>
        <v>0</v>
      </c>
      <c r="AD192" s="639">
        <f>IF(N192="węgiel",Q192*'Założenia,wskaźniki, listy'!$C$47,IF(N192="gaz",Q192*'Założenia,wskaźniki, listy'!$D$47,IF(N192="drewno",Q192*'Założenia,wskaźniki, listy'!$E$47,IF(N192="pelet",Q192*'Założenia,wskaźniki, listy'!$G$47,IF(N192="olej opałowy",Q192*'Założenia,wskaźniki, listy'!$G$47,IF(N192="sieć ciepłownicza",0,IF(N192="prąd",0,0)))))))</f>
        <v>0</v>
      </c>
      <c r="AE192" s="639">
        <f>IF(N192="węgiel",Q192*'Założenia,wskaźniki, listy'!$C$48,IF(N192="gaz",Q192*'Założenia,wskaźniki, listy'!$D$48,IF(N192="drewno",Q192*'Założenia,wskaźniki, listy'!$E$48,IF(N192="pelet",Q192*'Założenia,wskaźniki, listy'!$G$48,IF(N192="olej opałowy",Q192*'Założenia,wskaźniki, listy'!$G$48,IF(N192="sieć ciepłownicza",0,IF(N192="prąd",0,0)))))))</f>
        <v>0</v>
      </c>
      <c r="AF192" s="639">
        <f>IF(N192="węgiel",Q192*'Założenia,wskaźniki, listy'!$C$49,IF(N192="gaz",Q192*'Założenia,wskaźniki, listy'!$D$49,IF(N192="drewno",Q192*'Założenia,wskaźniki, listy'!$E$49,IF(N192="pelet",Q192*'Założenia,wskaźniki, listy'!$G$49,IF(N192="olej opałowy",Q192*'Założenia,wskaźniki, listy'!$G$49,IF(N192="sieć ciepłownicza",0,IF(N192="prąd",0,0)))))))</f>
        <v>0</v>
      </c>
      <c r="AG192" s="639">
        <f>IF(N192="węgiel",Q192*'Założenia,wskaźniki, listy'!$C$50,IF(N192="gaz",Q192*'Założenia,wskaźniki, listy'!$D$50,IF(N192="drewno",Q192*'Założenia,wskaźniki, listy'!$E$50,IF(N192="pelet",Q192*'Założenia,wskaźniki, listy'!$G$50,IF(N192="olej opałowy",Q192*'Założenia,wskaźniki, listy'!$G$50,IF(N192="sieć ciepłownicza",0,IF(N192="prąd",0,0)))))))</f>
        <v>0</v>
      </c>
      <c r="AH192" s="640">
        <f>IF(L192="węgiel",(P192+R192)/2*'Założenia,wskaźniki, listy'!$C$4,IF(L192="gaz",(P192+R192)/2*'Założenia,wskaźniki, listy'!$C$5,IF(L192="drewno",(P192+R192)/2*'Założenia,wskaźniki, listy'!$C$6,IF(L192="pelet",(P192+R192)/2*'Założenia,wskaźniki, listy'!$C$7,IF(L192="olej opałowy",(P192+R192)/2*'Założenia,wskaźniki, listy'!$C$8,IF(L192="sieć ciepłownicza",(P192+R192)/2*'Założenia,wskaźniki, listy'!$C$9,IF(L192="sieć ciepłownicza",(P192+R192)/2*'Założenia,wskaźniki, listy'!$C$10,)))))))</f>
        <v>0</v>
      </c>
      <c r="AI192" s="640">
        <f>IF(N192="węgiel",Q192*'Założenia,wskaźniki, listy'!$C$4,IF(N192="gaz",Q192*'Założenia,wskaźniki, listy'!$C$5,IF(N192="drewno",Q192*'Założenia,wskaźniki, listy'!$C$6,IF(N192="pelet",Q192*'Założenia,wskaźniki, listy'!$C$7,IF(N192="olej opałowy",Q192*'Założenia,wskaźniki, listy'!$C$8,IF(N192="sieć ciepłownicza",Q192*'Założenia,wskaźniki, listy'!$C$9,IF(N192="sieć ciepłownicza",Q192*'Założenia,wskaźniki, listy'!$C$10,0)))))))</f>
        <v>0</v>
      </c>
      <c r="AJ192" s="640">
        <f>S192*'Założenia,wskaźniki, listy'!$B$64*1000</f>
        <v>0</v>
      </c>
      <c r="AK192" s="640">
        <f>(H192+I192)*'Założenia,wskaźniki, listy'!$D$64*12</f>
        <v>0</v>
      </c>
      <c r="AL192" s="640">
        <f>AK192*'Założenia,wskaźniki, listy'!$F$64</f>
        <v>0</v>
      </c>
      <c r="AM192" s="639">
        <f t="shared" si="347"/>
        <v>0</v>
      </c>
      <c r="AN192" s="639">
        <f t="shared" si="348"/>
        <v>0</v>
      </c>
      <c r="AO192" s="639">
        <f>V192+AC192+S192*'Założenia,wskaźniki, listy'!$J$46</f>
        <v>0</v>
      </c>
      <c r="AP192" s="639">
        <f t="shared" si="349"/>
        <v>0</v>
      </c>
      <c r="AQ192" s="639">
        <f t="shared" si="350"/>
        <v>0</v>
      </c>
      <c r="AR192" s="639">
        <f t="shared" si="351"/>
        <v>0</v>
      </c>
      <c r="AS192" s="639">
        <f t="shared" si="352"/>
        <v>0</v>
      </c>
      <c r="AT192" s="647"/>
      <c r="AU192" s="647"/>
      <c r="AV192" s="624">
        <f t="shared" si="241"/>
        <v>0</v>
      </c>
      <c r="AW192" s="624" t="b">
        <f t="shared" si="242"/>
        <v>0</v>
      </c>
      <c r="AX192" s="624" t="b">
        <f t="shared" si="243"/>
        <v>0</v>
      </c>
      <c r="AY192" s="624" t="b">
        <f t="shared" si="244"/>
        <v>0</v>
      </c>
      <c r="AZ192" s="624" t="b">
        <f t="shared" si="245"/>
        <v>0</v>
      </c>
      <c r="BA192" s="624" t="b">
        <f t="shared" si="246"/>
        <v>0</v>
      </c>
      <c r="BB192" s="624" t="b">
        <f t="shared" si="247"/>
        <v>0</v>
      </c>
      <c r="BC192" s="624" t="b">
        <f t="shared" si="248"/>
        <v>0</v>
      </c>
      <c r="BD192" s="624" t="b">
        <f t="shared" si="249"/>
        <v>0</v>
      </c>
      <c r="BE192" s="624" t="b">
        <f t="shared" si="250"/>
        <v>0</v>
      </c>
      <c r="BF192" s="624" t="b">
        <f t="shared" si="251"/>
        <v>0</v>
      </c>
      <c r="BG192" s="624" t="b">
        <f t="shared" si="252"/>
        <v>0</v>
      </c>
      <c r="BH192" s="624" t="b">
        <f t="shared" si="253"/>
        <v>0</v>
      </c>
      <c r="BI192" s="624" t="b">
        <f t="shared" si="254"/>
        <v>0</v>
      </c>
      <c r="BJ192" s="624" t="b">
        <f t="shared" si="255"/>
        <v>0</v>
      </c>
      <c r="BK192" s="624" t="b">
        <f t="shared" si="256"/>
        <v>0</v>
      </c>
      <c r="BL192" s="624" t="b">
        <f t="shared" si="257"/>
        <v>0</v>
      </c>
      <c r="BM192" s="624" t="b">
        <f t="shared" si="258"/>
        <v>0</v>
      </c>
      <c r="BN192" s="624" t="b">
        <f t="shared" si="259"/>
        <v>0</v>
      </c>
      <c r="BO192" s="624" t="b">
        <f t="shared" si="260"/>
        <v>0</v>
      </c>
      <c r="BP192" s="624" t="b">
        <f t="shared" si="261"/>
        <v>0</v>
      </c>
      <c r="BQ192" s="624" t="b">
        <f t="shared" si="262"/>
        <v>0</v>
      </c>
    </row>
    <row r="193" spans="1:70" ht="8.25" customHeight="1">
      <c r="A193" s="1086">
        <v>95</v>
      </c>
      <c r="B193" s="872" t="s">
        <v>21</v>
      </c>
      <c r="C193" s="873" t="s">
        <v>640</v>
      </c>
      <c r="D193" s="645"/>
      <c r="E193" s="645">
        <v>5</v>
      </c>
      <c r="F193" s="872">
        <v>1992</v>
      </c>
      <c r="G193" s="872">
        <v>200</v>
      </c>
      <c r="H193" s="872"/>
      <c r="I193" s="873"/>
      <c r="J193" s="872">
        <f>IF(F193&lt;=1966,'Założenia,wskaźniki, listy'!$H$4,IF(F193&gt;1966,IF(F193&lt;=1985,'Założenia,wskaźniki, listy'!$H$5,IF(F193&gt;1985,IF(F193&lt;=1992,'Założenia,wskaźniki, listy'!$H$6,IF(F193&gt;1992,IF(F193&lt;=1996,'Założenia,wskaźniki, listy'!$H$7,IF(F193&gt;1996,IF(F193&lt;=2015,'Założenia,wskaźniki, listy'!$H$8)))))))))</f>
        <v>175</v>
      </c>
      <c r="K193" s="864" t="s">
        <v>31</v>
      </c>
      <c r="L193" s="872" t="s">
        <v>8</v>
      </c>
      <c r="M193" s="872">
        <v>4.5</v>
      </c>
      <c r="N193" s="644"/>
      <c r="O193" s="637">
        <f t="shared" si="240"/>
        <v>113.8725</v>
      </c>
      <c r="P193" s="646">
        <f>IF(K193="kompletna",J193*G193*0.0036*'Założenia,wskaźniki, listy'!$P$9,IF(K193="częściowa",J193*G193*0.0036*'Założenia,wskaźniki, listy'!$P$10,IF(K193="brak",J193*G193*0.0036*'Założenia,wskaźniki, listy'!$P$11,0)))</f>
        <v>126</v>
      </c>
      <c r="Q193" s="638">
        <f>H193*'Założenia,wskaźniki, listy'!$L$15</f>
        <v>0</v>
      </c>
      <c r="R193" s="635">
        <f>IF(L193="węgiel",'Mieszkalne - baza'!M193*'Założenia,wskaźniki, listy'!$B$4,IF(L193="gaz",'Mieszkalne - baza'!M193*'Założenia,wskaźniki, listy'!$B$5,IF(L193="drewno",'Mieszkalne - baza'!M193*'Założenia,wskaźniki, listy'!$B$6,IF(L193="pelet",'Mieszkalne - baza'!M193*'Założenia,wskaźniki, listy'!$B$7,IF(L193="olej opałowy",'Mieszkalne - baza'!M193*'Założenia,wskaźniki, listy'!$B$8,IF(L193="sieć ciepłownicza",0,0))))))</f>
        <v>101.745</v>
      </c>
      <c r="S193" s="1084">
        <v>2.1431999999999998</v>
      </c>
      <c r="T193" s="639">
        <f>IF(L193="węgiel",R193*'Założenia,wskaźniki, listy'!$C$44,IF(L193="gaz",R193*'Założenia,wskaźniki, listy'!$D$44,IF(L193="drewno",R193*'Założenia,wskaźniki, listy'!$E$44,IF(L193="pelet",R193*'Założenia,wskaźniki, listy'!$F$44,IF(L193="olej opałowy",R193*'Założenia,wskaźniki, listy'!$G$44,IF(L193="sieć ciepłownicza",0,IF(L193="prąd",0,0)))))))</f>
        <v>2.2892625E-2</v>
      </c>
      <c r="U193" s="639">
        <f>IF(L193="węgiel",R193*'Założenia,wskaźniki, listy'!$C$45,IF(L193="gaz",R193*'Założenia,wskaźniki, listy'!$D$45,IF(L193="drewno",R193*'Założenia,wskaźniki, listy'!$E$45,IF(L193="pelet",R193*'Założenia,wskaźniki, listy'!$F$45,IF(L193="olej opałowy",R193*'Założenia,wskaźniki, listy'!$G$45,IF(L193="sieć ciepłownicza",0,IF(L193="prąd",0,0)))))))</f>
        <v>2.0450745000000003E-2</v>
      </c>
      <c r="V193" s="639">
        <f>IF(L193="węgiel",R193*'Założenia,wskaźniki, listy'!$C$46,IF(L193="gaz",R193*'Założenia,wskaźniki, listy'!$D$46,IF(L193="drewno",R193*'Założenia,wskaźniki, listy'!$E$46,IF(L193="pelet",R193*'Założenia,wskaźniki, listy'!$F$46,IF(L193="olej opałowy",R193*'Założenia,wskaźniki, listy'!$G$46,IF(L193="sieć ciepłownicza",R193*'Założenia,wskaźniki, listy'!$H$46,IF(L193="prąd",R193*'Założenia,wskaźniki, listy'!$I$46,0)))))))</f>
        <v>9.5375762999999996</v>
      </c>
      <c r="W193" s="639">
        <f>IF(L193="węgiel",R193*'Założenia,wskaźniki, listy'!$C$47,IF(L193="gaz",R193*'Założenia,wskaźniki, listy'!$D$47,IF(L193="drewno",R193*'Założenia,wskaźniki, listy'!$E$47,IF(L193="pelet",R193*'Założenia,wskaźniki, listy'!$F$47,IF(L193="olej opałowy",R193*'Założenia,wskaźniki, listy'!$G$47,IF(L193="sieć ciepłownicza",0,IF(L193="prąd",0,0)))))))</f>
        <v>2.7471150000000002E-5</v>
      </c>
      <c r="X193" s="639">
        <f>IF(L193="węgiel",R193*'Założenia,wskaźniki, listy'!$C$48, IF(L193="gaz",R193*'Założenia,wskaźniki, listy'!$D$48,IF(L193="drewno",R193*'Założenia,wskaźniki, listy'!$E$48,IF(L193="pelet",R193*'Założenia,wskaźniki, listy'!$F$48,IF(L193="olej opałowy",R193*'Założenia,wskaźniki, listy'!$G$48,IF(L193="sieć ciepłownicza",0,IF(L193="prąd",0,0)))))))</f>
        <v>9.1570499999999999E-2</v>
      </c>
      <c r="Y193" s="639">
        <f>IF(L193="węgiel",R193*'Założenia,wskaźniki, listy'!$C$49, IF(L193="gaz",R193*'Założenia,wskaźniki, listy'!$D$49, IF(L193="drewno",R193*'Założenia,wskaźniki, listy'!$E$49,IF(L193="pelet",R193*'Założenia,wskaźniki, listy'!$F$49,IF(L193="olej opałowy",R193*'Założenia,wskaźniki, listy'!$G$49,IF(L193="sieć ciepłownicza",0,IF(L193="prąd",0,0)))))))</f>
        <v>1.607571E-2</v>
      </c>
      <c r="Z193" s="639">
        <f>IF(L193="węgiel",R193*'Założenia,wskaźniki, listy'!$C$50,IF(L193="gaz",R193*'Założenia,wskaźniki, listy'!$D$50, IF(L193="drewno",R193*'Założenia,wskaźniki, listy'!$E$50,IF(L193="pelet",R193*'Założenia,wskaźniki, listy'!$F$50,IF(L193="pelet",R193*'Założenia,wskaźniki, listy'!$F$50,IF(L193="olej opałowy",R193*'Założenia,wskaźniki, listy'!$G$50,IF(L193="sieć ciepłownicza",0,IF(L193="prąd",0,0))))))))</f>
        <v>0.20467255252570407</v>
      </c>
      <c r="AA193" s="639">
        <f>IF(N193="węgiel",Q193*'Założenia,wskaźniki, listy'!$C$44,IF(N193="gaz",Q193*'Założenia,wskaźniki, listy'!$D$44,IF(N193="drewno",Q193*'Założenia,wskaźniki, listy'!$E$44,IF(N193="pelet",Q193*'Założenia,wskaźniki, listy'!$G$44,IF(N193="olej opałowy",Q193*'Założenia,wskaźniki, listy'!$G$44,IF(N193="sieć ciepłownicza",0,IF(N193="prąd",0,0)))))))</f>
        <v>0</v>
      </c>
      <c r="AB193" s="639">
        <f>IF(N193="węgiel",Q193*'Założenia,wskaźniki, listy'!$C$45,IF(N193="gaz",Q193*'Założenia,wskaźniki, listy'!$D$45,IF(N193="drewno",Q193*'Założenia,wskaźniki, listy'!$E$45,IF(N193="pelet",Q193*'Założenia,wskaźniki, listy'!$G$45,IF(N193="olej opałowy",Q193*'Założenia,wskaźniki, listy'!$G$45,IF(N193="sieć ciepłownicza",0,IF(N193="prąd",0,0)))))))</f>
        <v>0</v>
      </c>
      <c r="AC193" s="639">
        <f>IF(N193="węgiel",Q193*'Założenia,wskaźniki, listy'!$C$46,IF(N193="gaz",Q193*'Założenia,wskaźniki, listy'!$D$46,IF(N193="drewno",Q193*'Założenia,wskaźniki, listy'!$E$46,IF(N193="pelet",Q193*'Założenia,wskaźniki, listy'!$G$46,IF(N193="olej opałowy",Q193*'Założenia,wskaźniki, listy'!$G$46,IF(N193="sieć ciepłownicza",0,IF(N193="prąd",0,0)))))))</f>
        <v>0</v>
      </c>
      <c r="AD193" s="639">
        <f>IF(N193="węgiel",Q193*'Założenia,wskaźniki, listy'!$C$47,IF(N193="gaz",Q193*'Założenia,wskaźniki, listy'!$D$47,IF(N193="drewno",Q193*'Założenia,wskaźniki, listy'!$E$47,IF(N193="pelet",Q193*'Założenia,wskaźniki, listy'!$G$47,IF(N193="olej opałowy",Q193*'Założenia,wskaźniki, listy'!$G$47,IF(N193="sieć ciepłownicza",0,IF(N193="prąd",0,0)))))))</f>
        <v>0</v>
      </c>
      <c r="AE193" s="639">
        <f>IF(N193="węgiel",Q193*'Założenia,wskaźniki, listy'!$C$48,IF(N193="gaz",Q193*'Założenia,wskaźniki, listy'!$D$48,IF(N193="drewno",Q193*'Założenia,wskaźniki, listy'!$E$48,IF(N193="pelet",Q193*'Założenia,wskaźniki, listy'!$G$48,IF(N193="olej opałowy",Q193*'Założenia,wskaźniki, listy'!$G$48,IF(N193="sieć ciepłownicza",0,IF(N193="prąd",0,0)))))))</f>
        <v>0</v>
      </c>
      <c r="AF193" s="639">
        <f>IF(N193="węgiel",Q193*'Założenia,wskaźniki, listy'!$C$49,IF(N193="gaz",Q193*'Założenia,wskaźniki, listy'!$D$49,IF(N193="drewno",Q193*'Założenia,wskaźniki, listy'!$E$49,IF(N193="pelet",Q193*'Założenia,wskaźniki, listy'!$G$49,IF(N193="olej opałowy",Q193*'Założenia,wskaźniki, listy'!$G$49,IF(N193="sieć ciepłownicza",0,IF(N193="prąd",0,0)))))))</f>
        <v>0</v>
      </c>
      <c r="AG193" s="639">
        <f>IF(N193="węgiel",Q193*'Założenia,wskaźniki, listy'!$C$50,IF(N193="gaz",Q193*'Założenia,wskaźniki, listy'!$D$50,IF(N193="drewno",Q193*'Założenia,wskaźniki, listy'!$E$50,IF(N193="pelet",Q193*'Założenia,wskaźniki, listy'!$G$50,IF(N193="olej opałowy",Q193*'Założenia,wskaźniki, listy'!$G$50,IF(N193="sieć ciepłownicza",0,IF(N193="prąd",0,0)))))))</f>
        <v>0</v>
      </c>
      <c r="AH193" s="640">
        <f>IF(L193="węgiel",(P193+R193)/2*'Założenia,wskaźniki, listy'!$C$4,IF(L193="gaz",(P193+R193)/2*'Założenia,wskaźniki, listy'!$C$5,IF(L193="drewno",(P193+R193)/2*'Założenia,wskaźniki, listy'!$C$6,IF(L193="pelet",(P193+R193)/2*'Założenia,wskaźniki, listy'!$C$7,IF(L193="olej opałowy",(P193+R193)/2*'Założenia,wskaźniki, listy'!$C$8,IF(L193="sieć ciepłownicza",(P193+R193)/2*'Założenia,wskaźniki, listy'!$C$9,IF(L193="sieć ciepłownicza",(P193+R193)/2*'Założenia,wskaźniki, listy'!$C$10,)))))))</f>
        <v>4668.7725</v>
      </c>
      <c r="AI193" s="640">
        <f>IF(N193="węgiel",Q193*'Założenia,wskaźniki, listy'!$C$4,IF(N193="gaz",Q193*'Założenia,wskaźniki, listy'!$C$5,IF(N193="drewno",Q193*'Założenia,wskaźniki, listy'!$C$6,IF(N193="pelet",Q193*'Założenia,wskaźniki, listy'!$C$7,IF(N193="olej opałowy",Q193*'Założenia,wskaźniki, listy'!$C$8,IF(N193="sieć ciepłownicza",Q193*'Założenia,wskaźniki, listy'!$C$9,IF(N193="sieć ciepłownicza",Q193*'Założenia,wskaźniki, listy'!$C$10,0)))))))</f>
        <v>0</v>
      </c>
      <c r="AJ193" s="640">
        <f>S193*'Założenia,wskaźniki, listy'!$B$64*1000</f>
        <v>1521.6719999999998</v>
      </c>
      <c r="AK193" s="640">
        <f>(H193+I193)*'Założenia,wskaźniki, listy'!$D$64*12</f>
        <v>0</v>
      </c>
      <c r="AL193" s="640">
        <f>AK193*'Założenia,wskaźniki, listy'!$F$64</f>
        <v>0</v>
      </c>
      <c r="AM193" s="639">
        <f t="shared" si="347"/>
        <v>2.2892625E-2</v>
      </c>
      <c r="AN193" s="639">
        <f t="shared" si="348"/>
        <v>2.0450745000000003E-2</v>
      </c>
      <c r="AO193" s="639">
        <f>V193+AC193+S193*'Założenia,wskaźniki, listy'!$J$46</f>
        <v>11.319647099999999</v>
      </c>
      <c r="AP193" s="639">
        <f t="shared" si="349"/>
        <v>2.7471150000000002E-5</v>
      </c>
      <c r="AQ193" s="639">
        <f t="shared" si="350"/>
        <v>9.1570499999999999E-2</v>
      </c>
      <c r="AR193" s="639">
        <f t="shared" si="351"/>
        <v>1.607571E-2</v>
      </c>
      <c r="AS193" s="639">
        <f t="shared" si="352"/>
        <v>0.20467255252570407</v>
      </c>
      <c r="AT193" s="647"/>
      <c r="AU193" s="647"/>
      <c r="AV193" s="624" t="b">
        <f t="shared" si="241"/>
        <v>0</v>
      </c>
      <c r="AW193" s="624" t="b">
        <f t="shared" si="242"/>
        <v>0</v>
      </c>
      <c r="AX193" s="624" t="b">
        <f t="shared" si="243"/>
        <v>0</v>
      </c>
      <c r="AY193" s="624" t="b">
        <f t="shared" si="244"/>
        <v>0</v>
      </c>
      <c r="AZ193" s="624">
        <f t="shared" si="245"/>
        <v>200</v>
      </c>
      <c r="BA193" s="624" t="b">
        <f t="shared" si="246"/>
        <v>0</v>
      </c>
      <c r="BB193" s="624" t="b">
        <f t="shared" si="247"/>
        <v>0</v>
      </c>
      <c r="BC193" s="624" t="b">
        <f t="shared" si="248"/>
        <v>0</v>
      </c>
      <c r="BD193" s="624" t="b">
        <f t="shared" si="249"/>
        <v>0</v>
      </c>
      <c r="BE193" s="624" t="b">
        <f t="shared" si="250"/>
        <v>0</v>
      </c>
      <c r="BF193" s="624">
        <f t="shared" si="251"/>
        <v>101.745</v>
      </c>
      <c r="BG193" s="624" t="b">
        <f t="shared" si="252"/>
        <v>0</v>
      </c>
      <c r="BH193" s="624" t="b">
        <f t="shared" si="253"/>
        <v>0</v>
      </c>
      <c r="BI193" s="624" t="b">
        <f t="shared" si="254"/>
        <v>0</v>
      </c>
      <c r="BJ193" s="624" t="b">
        <f t="shared" si="255"/>
        <v>0</v>
      </c>
      <c r="BK193" s="624" t="b">
        <f t="shared" si="256"/>
        <v>0</v>
      </c>
      <c r="BL193" s="624" t="b">
        <f t="shared" si="257"/>
        <v>0</v>
      </c>
      <c r="BM193" s="624" t="b">
        <f t="shared" si="258"/>
        <v>0</v>
      </c>
      <c r="BN193" s="624" t="b">
        <f t="shared" si="259"/>
        <v>0</v>
      </c>
      <c r="BO193" s="624" t="b">
        <f t="shared" si="260"/>
        <v>0</v>
      </c>
      <c r="BP193" s="624" t="b">
        <f t="shared" si="261"/>
        <v>0</v>
      </c>
      <c r="BQ193" s="624" t="b">
        <f t="shared" si="262"/>
        <v>0</v>
      </c>
    </row>
    <row r="194" spans="1:70" ht="8.25" customHeight="1">
      <c r="A194" s="1086"/>
      <c r="B194" s="872"/>
      <c r="C194" s="644"/>
      <c r="D194" s="645"/>
      <c r="E194" s="645"/>
      <c r="F194" s="644"/>
      <c r="G194" s="644"/>
      <c r="H194" s="644"/>
      <c r="I194" s="635"/>
      <c r="J194" s="644">
        <f>IF(F194&lt;=1966,'Założenia,wskaźniki, listy'!$H$4,IF(F194&gt;1966,IF(F194&lt;=1985,'Założenia,wskaźniki, listy'!$H$5,IF(F194&gt;1985,IF(F194&lt;=1992,'Założenia,wskaźniki, listy'!$H$6,IF(F194&gt;1992,IF(F194&lt;=1996,'Założenia,wskaźniki, listy'!$H$7,IF(F194&gt;1996,IF(F194&lt;=2015,'Założenia,wskaźniki, listy'!$H$8)))))))))</f>
        <v>290</v>
      </c>
      <c r="K194" s="864"/>
      <c r="L194" s="644"/>
      <c r="M194" s="644"/>
      <c r="N194" s="644"/>
      <c r="O194" s="637">
        <f t="shared" ref="O194" si="367">IF(P194&gt;0,(Q194+R194+P194)/2,Q194+R194)</f>
        <v>0</v>
      </c>
      <c r="P194" s="646">
        <f>IF(K194="kompletna",J194*G194*0.0036*'Założenia,wskaźniki, listy'!$P$9,IF(K194="częściowa",J194*G194*0.0036*'Założenia,wskaźniki, listy'!$P$10,IF(K194="brak",J194*G194*0.0036*'Założenia,wskaźniki, listy'!$P$11,0)))</f>
        <v>0</v>
      </c>
      <c r="Q194" s="638">
        <f>H194*'Założenia,wskaźniki, listy'!$L$15</f>
        <v>0</v>
      </c>
      <c r="R194" s="635">
        <f>IF(L194="węgiel",'Mieszkalne - baza'!M194*'Założenia,wskaźniki, listy'!$B$4,IF(L194="gaz",'Mieszkalne - baza'!M194*'Założenia,wskaźniki, listy'!$B$5,IF(L194="drewno",'Mieszkalne - baza'!M194*'Założenia,wskaźniki, listy'!$B$6,IF(L194="pelet",'Mieszkalne - baza'!M194*'Założenia,wskaźniki, listy'!$B$7,IF(L194="olej opałowy",'Mieszkalne - baza'!M194*'Założenia,wskaźniki, listy'!$B$8,IF(L194="sieć ciepłownicza",0,0))))))</f>
        <v>0</v>
      </c>
      <c r="S194" s="1085"/>
      <c r="T194" s="639">
        <f>IF(L194="węgiel",R194*'Założenia,wskaźniki, listy'!$C$44,IF(L194="gaz",R194*'Założenia,wskaźniki, listy'!$D$44,IF(L194="drewno",R194*'Założenia,wskaźniki, listy'!$E$44,IF(L194="pelet",R194*'Założenia,wskaźniki, listy'!$F$44,IF(L194="olej opałowy",R194*'Założenia,wskaźniki, listy'!$G$44,IF(L194="sieć ciepłownicza",0,IF(L194="prąd",0,0)))))))</f>
        <v>0</v>
      </c>
      <c r="U194" s="639">
        <f>IF(L194="węgiel",R194*'Założenia,wskaźniki, listy'!$C$45,IF(L194="gaz",R194*'Założenia,wskaźniki, listy'!$D$45,IF(L194="drewno",R194*'Założenia,wskaźniki, listy'!$E$45,IF(L194="pelet",R194*'Założenia,wskaźniki, listy'!$F$45,IF(L194="olej opałowy",R194*'Założenia,wskaźniki, listy'!$G$45,IF(L194="sieć ciepłownicza",0,IF(L194="prąd",0,0)))))))</f>
        <v>0</v>
      </c>
      <c r="V194" s="639">
        <f>IF(L194="węgiel",R194*'Założenia,wskaźniki, listy'!$C$46,IF(L194="gaz",R194*'Założenia,wskaźniki, listy'!$D$46,IF(L194="drewno",R194*'Założenia,wskaźniki, listy'!$E$46,IF(L194="pelet",R194*'Założenia,wskaźniki, listy'!$F$46,IF(L194="olej opałowy",R194*'Założenia,wskaźniki, listy'!$G$46,IF(L194="sieć ciepłownicza",R194*'Założenia,wskaźniki, listy'!$H$46,IF(L194="prąd",R194*'Założenia,wskaźniki, listy'!$I$46,0)))))))</f>
        <v>0</v>
      </c>
      <c r="W194" s="639">
        <f>IF(L194="węgiel",R194*'Założenia,wskaźniki, listy'!$C$47,IF(L194="gaz",R194*'Założenia,wskaźniki, listy'!$D$47,IF(L194="drewno",R194*'Założenia,wskaźniki, listy'!$E$47,IF(L194="pelet",R194*'Założenia,wskaźniki, listy'!$F$47,IF(L194="olej opałowy",R194*'Założenia,wskaźniki, listy'!$G$47,IF(L194="sieć ciepłownicza",0,IF(L194="prąd",0,0)))))))</f>
        <v>0</v>
      </c>
      <c r="X194" s="639">
        <f>IF(L194="węgiel",R194*'Założenia,wskaźniki, listy'!$C$48, IF(L194="gaz",R194*'Założenia,wskaźniki, listy'!$D$48,IF(L194="drewno",R194*'Założenia,wskaźniki, listy'!$E$48,IF(L194="pelet",R194*'Założenia,wskaźniki, listy'!$F$48,IF(L194="olej opałowy",R194*'Założenia,wskaźniki, listy'!$G$48,IF(L194="sieć ciepłownicza",0,IF(L194="prąd",0,0)))))))</f>
        <v>0</v>
      </c>
      <c r="Y194" s="639">
        <f>IF(L194="węgiel",R194*'Założenia,wskaźniki, listy'!$C$49, IF(L194="gaz",R194*'Założenia,wskaźniki, listy'!$D$49, IF(L194="drewno",R194*'Założenia,wskaźniki, listy'!$E$49,IF(L194="pelet",R194*'Założenia,wskaźniki, listy'!$F$49,IF(L194="olej opałowy",R194*'Założenia,wskaźniki, listy'!$G$49,IF(L194="sieć ciepłownicza",0,IF(L194="prąd",0,0)))))))</f>
        <v>0</v>
      </c>
      <c r="Z194" s="639">
        <f>IF(L194="węgiel",R194*'Założenia,wskaźniki, listy'!$C$50,IF(L194="gaz",R194*'Założenia,wskaźniki, listy'!$D$50, IF(L194="drewno",R194*'Założenia,wskaźniki, listy'!$E$50,IF(L194="pelet",R194*'Założenia,wskaźniki, listy'!$F$50,IF(L194="pelet",R194*'Założenia,wskaźniki, listy'!$F$50,IF(L194="olej opałowy",R194*'Założenia,wskaźniki, listy'!$G$50,IF(L194="sieć ciepłownicza",0,IF(L194="prąd",0,0))))))))</f>
        <v>0</v>
      </c>
      <c r="AA194" s="639">
        <f>IF(N194="węgiel",Q194*'Założenia,wskaźniki, listy'!$C$44,IF(N194="gaz",Q194*'Założenia,wskaźniki, listy'!$D$44,IF(N194="drewno",Q194*'Założenia,wskaźniki, listy'!$E$44,IF(N194="pelet",Q194*'Założenia,wskaźniki, listy'!$G$44,IF(N194="olej opałowy",Q194*'Założenia,wskaźniki, listy'!$G$44,IF(N194="sieć ciepłownicza",0,IF(N194="prąd",0,0)))))))</f>
        <v>0</v>
      </c>
      <c r="AB194" s="639">
        <f>IF(N194="węgiel",Q194*'Założenia,wskaźniki, listy'!$C$45,IF(N194="gaz",Q194*'Założenia,wskaźniki, listy'!$D$45,IF(N194="drewno",Q194*'Założenia,wskaźniki, listy'!$E$45,IF(N194="pelet",Q194*'Założenia,wskaźniki, listy'!$G$45,IF(N194="olej opałowy",Q194*'Założenia,wskaźniki, listy'!$G$45,IF(N194="sieć ciepłownicza",0,IF(N194="prąd",0,0)))))))</f>
        <v>0</v>
      </c>
      <c r="AC194" s="639">
        <f>IF(N194="węgiel",Q194*'Założenia,wskaźniki, listy'!$C$46,IF(N194="gaz",Q194*'Założenia,wskaźniki, listy'!$D$46,IF(N194="drewno",Q194*'Założenia,wskaźniki, listy'!$E$46,IF(N194="pelet",Q194*'Założenia,wskaźniki, listy'!$G$46,IF(N194="olej opałowy",Q194*'Założenia,wskaźniki, listy'!$G$46,IF(N194="sieć ciepłownicza",0,IF(N194="prąd",0,0)))))))</f>
        <v>0</v>
      </c>
      <c r="AD194" s="639">
        <f>IF(N194="węgiel",Q194*'Założenia,wskaźniki, listy'!$C$47,IF(N194="gaz",Q194*'Założenia,wskaźniki, listy'!$D$47,IF(N194="drewno",Q194*'Założenia,wskaźniki, listy'!$E$47,IF(N194="pelet",Q194*'Założenia,wskaźniki, listy'!$G$47,IF(N194="olej opałowy",Q194*'Założenia,wskaźniki, listy'!$G$47,IF(N194="sieć ciepłownicza",0,IF(N194="prąd",0,0)))))))</f>
        <v>0</v>
      </c>
      <c r="AE194" s="639">
        <f>IF(N194="węgiel",Q194*'Założenia,wskaźniki, listy'!$C$48,IF(N194="gaz",Q194*'Założenia,wskaźniki, listy'!$D$48,IF(N194="drewno",Q194*'Założenia,wskaźniki, listy'!$E$48,IF(N194="pelet",Q194*'Założenia,wskaźniki, listy'!$G$48,IF(N194="olej opałowy",Q194*'Założenia,wskaźniki, listy'!$G$48,IF(N194="sieć ciepłownicza",0,IF(N194="prąd",0,0)))))))</f>
        <v>0</v>
      </c>
      <c r="AF194" s="639">
        <f>IF(N194="węgiel",Q194*'Założenia,wskaźniki, listy'!$C$49,IF(N194="gaz",Q194*'Założenia,wskaźniki, listy'!$D$49,IF(N194="drewno",Q194*'Założenia,wskaźniki, listy'!$E$49,IF(N194="pelet",Q194*'Założenia,wskaźniki, listy'!$G$49,IF(N194="olej opałowy",Q194*'Założenia,wskaźniki, listy'!$G$49,IF(N194="sieć ciepłownicza",0,IF(N194="prąd",0,0)))))))</f>
        <v>0</v>
      </c>
      <c r="AG194" s="639">
        <f>IF(N194="węgiel",Q194*'Założenia,wskaźniki, listy'!$C$50,IF(N194="gaz",Q194*'Założenia,wskaźniki, listy'!$D$50,IF(N194="drewno",Q194*'Założenia,wskaźniki, listy'!$E$50,IF(N194="pelet",Q194*'Założenia,wskaźniki, listy'!$G$50,IF(N194="olej opałowy",Q194*'Założenia,wskaźniki, listy'!$G$50,IF(N194="sieć ciepłownicza",0,IF(N194="prąd",0,0)))))))</f>
        <v>0</v>
      </c>
      <c r="AH194" s="640">
        <f>IF(L194="węgiel",(P194+R194)/2*'Założenia,wskaźniki, listy'!$C$4,IF(L194="gaz",(P194+R194)/2*'Założenia,wskaźniki, listy'!$C$5,IF(L194="drewno",(P194+R194)/2*'Założenia,wskaźniki, listy'!$C$6,IF(L194="pelet",(P194+R194)/2*'Założenia,wskaźniki, listy'!$C$7,IF(L194="olej opałowy",(P194+R194)/2*'Założenia,wskaźniki, listy'!$C$8,IF(L194="sieć ciepłownicza",(P194+R194)/2*'Założenia,wskaźniki, listy'!$C$9,IF(L194="sieć ciepłownicza",(P194+R194)/2*'Założenia,wskaźniki, listy'!$C$10,)))))))</f>
        <v>0</v>
      </c>
      <c r="AI194" s="640">
        <f>IF(N194="węgiel",Q194*'Założenia,wskaźniki, listy'!$C$4,IF(N194="gaz",Q194*'Założenia,wskaźniki, listy'!$C$5,IF(N194="drewno",Q194*'Założenia,wskaźniki, listy'!$C$6,IF(N194="pelet",Q194*'Założenia,wskaźniki, listy'!$C$7,IF(N194="olej opałowy",Q194*'Założenia,wskaźniki, listy'!$C$8,IF(N194="sieć ciepłownicza",Q194*'Założenia,wskaźniki, listy'!$C$9,IF(N194="sieć ciepłownicza",Q194*'Założenia,wskaźniki, listy'!$C$10,0)))))))</f>
        <v>0</v>
      </c>
      <c r="AJ194" s="640">
        <f>S194*'Założenia,wskaźniki, listy'!$B$64*1000</f>
        <v>0</v>
      </c>
      <c r="AK194" s="640">
        <f>(H194+I194)*'Założenia,wskaźniki, listy'!$D$64*12</f>
        <v>0</v>
      </c>
      <c r="AL194" s="640">
        <f>AK194*'Założenia,wskaźniki, listy'!$F$64</f>
        <v>0</v>
      </c>
      <c r="AM194" s="639">
        <f t="shared" ref="AM194" si="368">T194+AA194</f>
        <v>0</v>
      </c>
      <c r="AN194" s="639">
        <f t="shared" ref="AN194" si="369">U194+AB194</f>
        <v>0</v>
      </c>
      <c r="AO194" s="639">
        <f>V194+AC194+S194*'Założenia,wskaźniki, listy'!$J$46</f>
        <v>0</v>
      </c>
      <c r="AP194" s="639">
        <f t="shared" ref="AP194" si="370">W194+AD194</f>
        <v>0</v>
      </c>
      <c r="AQ194" s="639">
        <f t="shared" ref="AQ194" si="371">X194+AE194</f>
        <v>0</v>
      </c>
      <c r="AR194" s="639">
        <f t="shared" ref="AR194" si="372">Y194+AF194</f>
        <v>0</v>
      </c>
      <c r="AS194" s="639">
        <f t="shared" ref="AS194" si="373">Z194+AG194</f>
        <v>0</v>
      </c>
      <c r="AT194" s="647"/>
      <c r="AU194" s="647"/>
      <c r="AV194" s="624">
        <f t="shared" si="241"/>
        <v>0</v>
      </c>
      <c r="AW194" s="624" t="b">
        <f t="shared" si="242"/>
        <v>0</v>
      </c>
      <c r="AX194" s="624" t="b">
        <f t="shared" si="243"/>
        <v>0</v>
      </c>
      <c r="AY194" s="624" t="b">
        <f t="shared" si="244"/>
        <v>0</v>
      </c>
      <c r="AZ194" s="624" t="b">
        <f t="shared" si="245"/>
        <v>0</v>
      </c>
      <c r="BA194" s="624" t="b">
        <f t="shared" si="246"/>
        <v>0</v>
      </c>
      <c r="BB194" s="624" t="b">
        <f t="shared" si="247"/>
        <v>0</v>
      </c>
      <c r="BC194" s="624" t="b">
        <f t="shared" si="248"/>
        <v>0</v>
      </c>
      <c r="BD194" s="624" t="b">
        <f t="shared" si="249"/>
        <v>0</v>
      </c>
      <c r="BE194" s="624" t="b">
        <f t="shared" si="250"/>
        <v>0</v>
      </c>
      <c r="BF194" s="624" t="b">
        <f t="shared" si="251"/>
        <v>0</v>
      </c>
      <c r="BG194" s="624" t="b">
        <f t="shared" si="252"/>
        <v>0</v>
      </c>
      <c r="BH194" s="624" t="b">
        <f t="shared" si="253"/>
        <v>0</v>
      </c>
      <c r="BI194" s="624" t="b">
        <f t="shared" si="254"/>
        <v>0</v>
      </c>
      <c r="BJ194" s="624" t="b">
        <f t="shared" si="255"/>
        <v>0</v>
      </c>
      <c r="BK194" s="624" t="b">
        <f t="shared" si="256"/>
        <v>0</v>
      </c>
      <c r="BL194" s="624" t="b">
        <f t="shared" si="257"/>
        <v>0</v>
      </c>
      <c r="BM194" s="624" t="b">
        <f t="shared" si="258"/>
        <v>0</v>
      </c>
      <c r="BN194" s="624" t="b">
        <f t="shared" si="259"/>
        <v>0</v>
      </c>
      <c r="BO194" s="624" t="b">
        <f t="shared" si="260"/>
        <v>0</v>
      </c>
      <c r="BP194" s="624" t="b">
        <f t="shared" si="261"/>
        <v>0</v>
      </c>
      <c r="BQ194" s="624" t="b">
        <f t="shared" si="262"/>
        <v>0</v>
      </c>
    </row>
    <row r="195" spans="1:70" ht="8.25" customHeight="1">
      <c r="A195" s="1086">
        <v>96</v>
      </c>
      <c r="B195" s="872" t="s">
        <v>21</v>
      </c>
      <c r="C195" s="873" t="s">
        <v>640</v>
      </c>
      <c r="D195" s="645"/>
      <c r="E195" s="645">
        <v>6</v>
      </c>
      <c r="F195" s="644">
        <v>1962</v>
      </c>
      <c r="G195" s="644">
        <v>90</v>
      </c>
      <c r="H195" s="644"/>
      <c r="I195" s="635"/>
      <c r="J195" s="644">
        <f>IF(F195&lt;=1966,'Założenia,wskaźniki, listy'!$H$4,IF(F195&gt;1966,IF(F195&lt;=1985,'Założenia,wskaźniki, listy'!$H$5,IF(F195&gt;1985,IF(F195&lt;=1992,'Założenia,wskaźniki, listy'!$H$6,IF(F195&gt;1992,IF(F195&lt;=1996,'Założenia,wskaźniki, listy'!$H$7,IF(F195&gt;1996,IF(F195&lt;=2015,'Założenia,wskaźniki, listy'!$H$8)))))))))</f>
        <v>290</v>
      </c>
      <c r="K195" s="864" t="s">
        <v>31</v>
      </c>
      <c r="L195" s="644" t="s">
        <v>8</v>
      </c>
      <c r="M195" s="644">
        <v>2</v>
      </c>
      <c r="N195" s="644"/>
      <c r="O195" s="637">
        <f t="shared" ref="O195:O204" si="374">IF(P195&gt;0,(Q195+R195+P195)/2,Q195+R195)</f>
        <v>69.59</v>
      </c>
      <c r="P195" s="646">
        <f>IF(K195="kompletna",J195*G195*0.0036*'Założenia,wskaźniki, listy'!$P$9,IF(K195="częściowa",J195*G195*0.0036*'Założenia,wskaźniki, listy'!$P$10,IF(K195="brak",J195*G195*0.0036*'Założenia,wskaźniki, listy'!$P$11,0)))</f>
        <v>93.96</v>
      </c>
      <c r="Q195" s="638">
        <f>H195*'Założenia,wskaźniki, listy'!$L$15</f>
        <v>0</v>
      </c>
      <c r="R195" s="635">
        <f>IF(L195="węgiel",'Mieszkalne - baza'!M195*'Założenia,wskaźniki, listy'!$B$4,IF(L195="gaz",'Mieszkalne - baza'!M195*'Założenia,wskaźniki, listy'!$B$5,IF(L195="drewno",'Mieszkalne - baza'!M195*'Założenia,wskaźniki, listy'!$B$6,IF(L195="pelet",'Mieszkalne - baza'!M195*'Założenia,wskaźniki, listy'!$B$7,IF(L195="olej opałowy",'Mieszkalne - baza'!M195*'Założenia,wskaźniki, listy'!$B$8,IF(L195="sieć ciepłownicza",0,0))))))</f>
        <v>45.22</v>
      </c>
      <c r="S195" s="1084">
        <v>1.6919999999999999</v>
      </c>
      <c r="T195" s="639">
        <f>IF(L195="węgiel",R195*'Założenia,wskaźniki, listy'!$C$44,IF(L195="gaz",R195*'Założenia,wskaźniki, listy'!$D$44,IF(L195="drewno",R195*'Założenia,wskaźniki, listy'!$E$44,IF(L195="pelet",R195*'Założenia,wskaźniki, listy'!$F$44,IF(L195="olej opałowy",R195*'Założenia,wskaźniki, listy'!$G$44,IF(L195="sieć ciepłownicza",0,IF(L195="prąd",0,0)))))))</f>
        <v>1.01745E-2</v>
      </c>
      <c r="U195" s="639">
        <f>IF(L195="węgiel",R195*'Założenia,wskaźniki, listy'!$C$45,IF(L195="gaz",R195*'Założenia,wskaźniki, listy'!$D$45,IF(L195="drewno",R195*'Założenia,wskaźniki, listy'!$E$45,IF(L195="pelet",R195*'Założenia,wskaźniki, listy'!$F$45,IF(L195="olej opałowy",R195*'Założenia,wskaźniki, listy'!$G$45,IF(L195="sieć ciepłownicza",0,IF(L195="prąd",0,0)))))))</f>
        <v>9.0892200000000003E-3</v>
      </c>
      <c r="V195" s="639">
        <f>IF(L195="węgiel",R195*'Założenia,wskaźniki, listy'!$C$46,IF(L195="gaz",R195*'Założenia,wskaźniki, listy'!$D$46,IF(L195="drewno",R195*'Założenia,wskaźniki, listy'!$E$46,IF(L195="pelet",R195*'Założenia,wskaźniki, listy'!$F$46,IF(L195="olej opałowy",R195*'Założenia,wskaźniki, listy'!$G$46,IF(L195="sieć ciepłownicza",R195*'Założenia,wskaźniki, listy'!$H$46,IF(L195="prąd",R195*'Założenia,wskaźniki, listy'!$I$46,0)))))))</f>
        <v>4.2389227999999992</v>
      </c>
      <c r="W195" s="639">
        <f>IF(L195="węgiel",R195*'Założenia,wskaźniki, listy'!$C$47,IF(L195="gaz",R195*'Założenia,wskaźniki, listy'!$D$47,IF(L195="drewno",R195*'Założenia,wskaźniki, listy'!$E$47,IF(L195="pelet",R195*'Założenia,wskaźniki, listy'!$F$47,IF(L195="olej opałowy",R195*'Założenia,wskaźniki, listy'!$G$47,IF(L195="sieć ciepłownicza",0,IF(L195="prąd",0,0)))))))</f>
        <v>1.22094E-5</v>
      </c>
      <c r="X195" s="639">
        <f>IF(L195="węgiel",R195*'Założenia,wskaźniki, listy'!$C$48, IF(L195="gaz",R195*'Założenia,wskaźniki, listy'!$D$48,IF(L195="drewno",R195*'Założenia,wskaźniki, listy'!$E$48,IF(L195="pelet",R195*'Założenia,wskaźniki, listy'!$F$48,IF(L195="olej opałowy",R195*'Założenia,wskaźniki, listy'!$G$48,IF(L195="sieć ciepłownicza",0,IF(L195="prąd",0,0)))))))</f>
        <v>4.0697999999999998E-2</v>
      </c>
      <c r="Y195" s="639">
        <f>IF(L195="węgiel",R195*'Założenia,wskaźniki, listy'!$C$49, IF(L195="gaz",R195*'Założenia,wskaźniki, listy'!$D$49, IF(L195="drewno",R195*'Założenia,wskaźniki, listy'!$E$49,IF(L195="pelet",R195*'Założenia,wskaźniki, listy'!$F$49,IF(L195="olej opałowy",R195*'Założenia,wskaźniki, listy'!$G$49,IF(L195="sieć ciepłownicza",0,IF(L195="prąd",0,0)))))))</f>
        <v>7.1447599999999991E-3</v>
      </c>
      <c r="Z195" s="639">
        <f>IF(L195="węgiel",R195*'Założenia,wskaźniki, listy'!$C$50,IF(L195="gaz",R195*'Założenia,wskaźniki, listy'!$D$50, IF(L195="drewno",R195*'Założenia,wskaźniki, listy'!$E$50,IF(L195="pelet",R195*'Założenia,wskaźniki, listy'!$F$50,IF(L195="pelet",R195*'Założenia,wskaźniki, listy'!$F$50,IF(L195="olej opałowy",R195*'Założenia,wskaźniki, listy'!$G$50,IF(L195="sieć ciepłownicza",0,IF(L195="prąd",0,0))))))))</f>
        <v>9.0965578900312913E-2</v>
      </c>
      <c r="AA195" s="639">
        <f>IF(N195="węgiel",Q195*'Założenia,wskaźniki, listy'!$C$44,IF(N195="gaz",Q195*'Założenia,wskaźniki, listy'!$D$44,IF(N195="drewno",Q195*'Założenia,wskaźniki, listy'!$E$44,IF(N195="pelet",Q195*'Założenia,wskaźniki, listy'!$G$44,IF(N195="olej opałowy",Q195*'Założenia,wskaźniki, listy'!$G$44,IF(N195="sieć ciepłownicza",0,IF(N195="prąd",0,0)))))))</f>
        <v>0</v>
      </c>
      <c r="AB195" s="639">
        <f>IF(N195="węgiel",Q195*'Założenia,wskaźniki, listy'!$C$45,IF(N195="gaz",Q195*'Założenia,wskaźniki, listy'!$D$45,IF(N195="drewno",Q195*'Założenia,wskaźniki, listy'!$E$45,IF(N195="pelet",Q195*'Założenia,wskaźniki, listy'!$G$45,IF(N195="olej opałowy",Q195*'Założenia,wskaźniki, listy'!$G$45,IF(N195="sieć ciepłownicza",0,IF(N195="prąd",0,0)))))))</f>
        <v>0</v>
      </c>
      <c r="AC195" s="639">
        <f>IF(N195="węgiel",Q195*'Założenia,wskaźniki, listy'!$C$46,IF(N195="gaz",Q195*'Założenia,wskaźniki, listy'!$D$46,IF(N195="drewno",Q195*'Założenia,wskaźniki, listy'!$E$46,IF(N195="pelet",Q195*'Założenia,wskaźniki, listy'!$G$46,IF(N195="olej opałowy",Q195*'Założenia,wskaźniki, listy'!$G$46,IF(N195="sieć ciepłownicza",0,IF(N195="prąd",0,0)))))))</f>
        <v>0</v>
      </c>
      <c r="AD195" s="639">
        <f>IF(N195="węgiel",Q195*'Założenia,wskaźniki, listy'!$C$47,IF(N195="gaz",Q195*'Założenia,wskaźniki, listy'!$D$47,IF(N195="drewno",Q195*'Założenia,wskaźniki, listy'!$E$47,IF(N195="pelet",Q195*'Założenia,wskaźniki, listy'!$G$47,IF(N195="olej opałowy",Q195*'Założenia,wskaźniki, listy'!$G$47,IF(N195="sieć ciepłownicza",0,IF(N195="prąd",0,0)))))))</f>
        <v>0</v>
      </c>
      <c r="AE195" s="639">
        <f>IF(N195="węgiel",Q195*'Założenia,wskaźniki, listy'!$C$48,IF(N195="gaz",Q195*'Założenia,wskaźniki, listy'!$D$48,IF(N195="drewno",Q195*'Założenia,wskaźniki, listy'!$E$48,IF(N195="pelet",Q195*'Założenia,wskaźniki, listy'!$G$48,IF(N195="olej opałowy",Q195*'Założenia,wskaźniki, listy'!$G$48,IF(N195="sieć ciepłownicza",0,IF(N195="prąd",0,0)))))))</f>
        <v>0</v>
      </c>
      <c r="AF195" s="639">
        <f>IF(N195="węgiel",Q195*'Założenia,wskaźniki, listy'!$C$49,IF(N195="gaz",Q195*'Założenia,wskaźniki, listy'!$D$49,IF(N195="drewno",Q195*'Założenia,wskaźniki, listy'!$E$49,IF(N195="pelet",Q195*'Założenia,wskaźniki, listy'!$G$49,IF(N195="olej opałowy",Q195*'Założenia,wskaźniki, listy'!$G$49,IF(N195="sieć ciepłownicza",0,IF(N195="prąd",0,0)))))))</f>
        <v>0</v>
      </c>
      <c r="AG195" s="639">
        <f>IF(N195="węgiel",Q195*'Założenia,wskaźniki, listy'!$C$50,IF(N195="gaz",Q195*'Założenia,wskaźniki, listy'!$D$50,IF(N195="drewno",Q195*'Założenia,wskaźniki, listy'!$E$50,IF(N195="pelet",Q195*'Założenia,wskaźniki, listy'!$G$50,IF(N195="olej opałowy",Q195*'Założenia,wskaźniki, listy'!$G$50,IF(N195="sieć ciepłownicza",0,IF(N195="prąd",0,0)))))))</f>
        <v>0</v>
      </c>
      <c r="AH195" s="640">
        <f>IF(L195="węgiel",(P195+R195)/2*'Założenia,wskaźniki, listy'!$C$4,IF(L195="gaz",(P195+R195)/2*'Założenia,wskaźniki, listy'!$C$5,IF(L195="drewno",(P195+R195)/2*'Założenia,wskaźniki, listy'!$C$6,IF(L195="pelet",(P195+R195)/2*'Założenia,wskaźniki, listy'!$C$7,IF(L195="olej opałowy",(P195+R195)/2*'Założenia,wskaźniki, listy'!$C$8,IF(L195="sieć ciepłownicza",(P195+R195)/2*'Założenia,wskaźniki, listy'!$C$9,IF(L195="sieć ciepłownicza",(P195+R195)/2*'Założenia,wskaźniki, listy'!$C$10,)))))))</f>
        <v>2853.19</v>
      </c>
      <c r="AI195" s="640">
        <f>IF(N195="węgiel",Q195*'Założenia,wskaźniki, listy'!$C$4,IF(N195="gaz",Q195*'Założenia,wskaźniki, listy'!$C$5,IF(N195="drewno",Q195*'Założenia,wskaźniki, listy'!$C$6,IF(N195="pelet",Q195*'Założenia,wskaźniki, listy'!$C$7,IF(N195="olej opałowy",Q195*'Założenia,wskaźniki, listy'!$C$8,IF(N195="sieć ciepłownicza",Q195*'Założenia,wskaźniki, listy'!$C$9,IF(N195="sieć ciepłownicza",Q195*'Założenia,wskaźniki, listy'!$C$10,0)))))))</f>
        <v>0</v>
      </c>
      <c r="AJ195" s="640">
        <f>S195*'Założenia,wskaźniki, listy'!$B$64*1000</f>
        <v>1201.32</v>
      </c>
      <c r="AK195" s="640">
        <f>(H195+I195)*'Założenia,wskaźniki, listy'!$D$64*12</f>
        <v>0</v>
      </c>
      <c r="AL195" s="640">
        <f>AK195*'Założenia,wskaźniki, listy'!$F$64</f>
        <v>0</v>
      </c>
      <c r="AM195" s="639">
        <f t="shared" si="347"/>
        <v>1.01745E-2</v>
      </c>
      <c r="AN195" s="639">
        <f t="shared" si="348"/>
        <v>9.0892200000000003E-3</v>
      </c>
      <c r="AO195" s="639">
        <f>V195+AC195+S195*'Założenia,wskaźniki, listy'!$J$46</f>
        <v>5.6458207999999992</v>
      </c>
      <c r="AP195" s="639">
        <f t="shared" si="349"/>
        <v>1.22094E-5</v>
      </c>
      <c r="AQ195" s="639">
        <f t="shared" si="350"/>
        <v>4.0697999999999998E-2</v>
      </c>
      <c r="AR195" s="639">
        <f t="shared" si="351"/>
        <v>7.1447599999999991E-3</v>
      </c>
      <c r="AS195" s="639">
        <f t="shared" si="352"/>
        <v>9.0965578900312913E-2</v>
      </c>
      <c r="AT195" s="647"/>
      <c r="AU195" s="647"/>
      <c r="AV195" s="624">
        <f t="shared" si="241"/>
        <v>90</v>
      </c>
      <c r="AW195" s="624" t="b">
        <f t="shared" si="242"/>
        <v>0</v>
      </c>
      <c r="AX195" s="624" t="b">
        <f t="shared" si="243"/>
        <v>0</v>
      </c>
      <c r="AY195" s="624" t="b">
        <f t="shared" si="244"/>
        <v>0</v>
      </c>
      <c r="AZ195" s="624" t="b">
        <f t="shared" si="245"/>
        <v>0</v>
      </c>
      <c r="BA195" s="624" t="b">
        <f t="shared" si="246"/>
        <v>0</v>
      </c>
      <c r="BB195" s="624" t="b">
        <f t="shared" si="247"/>
        <v>0</v>
      </c>
      <c r="BC195" s="624" t="b">
        <f t="shared" si="248"/>
        <v>0</v>
      </c>
      <c r="BD195" s="624" t="b">
        <f t="shared" si="249"/>
        <v>0</v>
      </c>
      <c r="BE195" s="624" t="b">
        <f t="shared" si="250"/>
        <v>0</v>
      </c>
      <c r="BF195" s="624">
        <f t="shared" si="251"/>
        <v>45.22</v>
      </c>
      <c r="BG195" s="624" t="b">
        <f t="shared" si="252"/>
        <v>0</v>
      </c>
      <c r="BH195" s="624" t="b">
        <f t="shared" si="253"/>
        <v>0</v>
      </c>
      <c r="BI195" s="624" t="b">
        <f t="shared" si="254"/>
        <v>0</v>
      </c>
      <c r="BJ195" s="624" t="b">
        <f t="shared" si="255"/>
        <v>0</v>
      </c>
      <c r="BK195" s="624" t="b">
        <f t="shared" si="256"/>
        <v>0</v>
      </c>
      <c r="BL195" s="624" t="b">
        <f t="shared" si="257"/>
        <v>0</v>
      </c>
      <c r="BM195" s="624" t="b">
        <f t="shared" si="258"/>
        <v>0</v>
      </c>
      <c r="BN195" s="624" t="b">
        <f t="shared" si="259"/>
        <v>0</v>
      </c>
      <c r="BO195" s="624" t="b">
        <f t="shared" si="260"/>
        <v>0</v>
      </c>
      <c r="BP195" s="624" t="b">
        <f t="shared" si="261"/>
        <v>0</v>
      </c>
      <c r="BQ195" s="624" t="b">
        <f t="shared" si="262"/>
        <v>0</v>
      </c>
    </row>
    <row r="196" spans="1:70" ht="8.25" customHeight="1">
      <c r="A196" s="1087"/>
      <c r="B196" s="872"/>
      <c r="C196" s="644"/>
      <c r="D196" s="645"/>
      <c r="E196" s="645"/>
      <c r="F196" s="644"/>
      <c r="G196" s="644"/>
      <c r="H196" s="644"/>
      <c r="I196" s="635"/>
      <c r="J196" s="644">
        <f>IF(F196&lt;=1966,'Założenia,wskaźniki, listy'!$H$4,IF(F196&gt;1966,IF(F196&lt;=1985,'Założenia,wskaźniki, listy'!$H$5,IF(F196&gt;1985,IF(F196&lt;=1992,'Założenia,wskaźniki, listy'!$H$6,IF(F196&gt;1992,IF(F196&lt;=1996,'Założenia,wskaźniki, listy'!$H$7,IF(F196&gt;1996,IF(F196&lt;=2015,'Założenia,wskaźniki, listy'!$H$8)))))))))</f>
        <v>290</v>
      </c>
      <c r="K196" s="864"/>
      <c r="L196" s="644" t="s">
        <v>79</v>
      </c>
      <c r="M196" s="644">
        <v>2</v>
      </c>
      <c r="N196" s="644"/>
      <c r="O196" s="637">
        <f t="shared" si="374"/>
        <v>30</v>
      </c>
      <c r="P196" s="646">
        <f>IF(K196="kompletna",J196*G196*0.0036*'Założenia,wskaźniki, listy'!$P$9,IF(K196="częściowa",J196*G196*0.0036*'Założenia,wskaźniki, listy'!$P$10,IF(K196="brak",J196*G196*0.0036*'Założenia,wskaźniki, listy'!$P$11,0)))</f>
        <v>0</v>
      </c>
      <c r="Q196" s="638">
        <f>H196*'Założenia,wskaźniki, listy'!$L$15</f>
        <v>0</v>
      </c>
      <c r="R196" s="635">
        <f>IF(L196="węgiel",'Mieszkalne - baza'!M196*'Założenia,wskaźniki, listy'!$B$4,IF(L196="gaz",'Mieszkalne - baza'!M196*'Założenia,wskaźniki, listy'!$B$5,IF(L196="drewno",'Mieszkalne - baza'!M196*'Założenia,wskaźniki, listy'!$B$6,IF(L196="pelet",'Mieszkalne - baza'!M196*'Założenia,wskaźniki, listy'!$B$7,IF(L196="olej opałowy",'Mieszkalne - baza'!M196*'Założenia,wskaźniki, listy'!$B$8,IF(L196="sieć ciepłownicza",0,0))))))</f>
        <v>30</v>
      </c>
      <c r="S196" s="1085"/>
      <c r="T196" s="639">
        <f>IF(L196="węgiel",R196*'Założenia,wskaźniki, listy'!$C$44,IF(L196="gaz",R196*'Założenia,wskaźniki, listy'!$D$44,IF(L196="drewno",R196*'Założenia,wskaźniki, listy'!$E$44,IF(L196="pelet",R196*'Założenia,wskaźniki, listy'!$F$44,IF(L196="olej opałowy",R196*'Założenia,wskaźniki, listy'!$G$44,IF(L196="sieć ciepłownicza",0,IF(L196="prąd",0,0)))))))</f>
        <v>1.44E-2</v>
      </c>
      <c r="U196" s="639">
        <f>IF(L196="węgiel",R196*'Założenia,wskaźniki, listy'!$C$45,IF(L196="gaz",R196*'Założenia,wskaźniki, listy'!$D$45,IF(L196="drewno",R196*'Założenia,wskaźniki, listy'!$E$45,IF(L196="pelet",R196*'Założenia,wskaźniki, listy'!$F$45,IF(L196="olej opałowy",R196*'Założenia,wskaźniki, listy'!$G$45,IF(L196="sieć ciepłownicza",0,IF(L196="prąd",0,0)))))))</f>
        <v>1.41E-2</v>
      </c>
      <c r="V196" s="639">
        <f>IF(L196="węgiel",R196*'Założenia,wskaźniki, listy'!$C$46,IF(L196="gaz",R196*'Założenia,wskaźniki, listy'!$D$46,IF(L196="drewno",R196*'Założenia,wskaźniki, listy'!$E$46,IF(L196="pelet",R196*'Założenia,wskaźniki, listy'!$F$46,IF(L196="olej opałowy",R196*'Założenia,wskaźniki, listy'!$G$46,IF(L196="sieć ciepłownicza",R196*'Założenia,wskaźniki, listy'!$H$46,IF(L196="prąd",R196*'Założenia,wskaźniki, listy'!$I$46,0)))))))</f>
        <v>0</v>
      </c>
      <c r="W196" s="639">
        <f>IF(L196="węgiel",R196*'Założenia,wskaźniki, listy'!$C$47,IF(L196="gaz",R196*'Założenia,wskaźniki, listy'!$D$47,IF(L196="drewno",R196*'Założenia,wskaźniki, listy'!$E$47,IF(L196="pelet",R196*'Założenia,wskaźniki, listy'!$F$47,IF(L196="olej opałowy",R196*'Założenia,wskaźniki, listy'!$G$47,IF(L196="sieć ciepłownicza",0,IF(L196="prąd",0,0)))))))</f>
        <v>3.6300000000000004E-6</v>
      </c>
      <c r="X196" s="639">
        <f>IF(L196="węgiel",R196*'Założenia,wskaźniki, listy'!$C$48, IF(L196="gaz",R196*'Założenia,wskaźniki, listy'!$D$48,IF(L196="drewno",R196*'Założenia,wskaźniki, listy'!$E$48,IF(L196="pelet",R196*'Założenia,wskaźniki, listy'!$F$48,IF(L196="olej opałowy",R196*'Założenia,wskaźniki, listy'!$G$48,IF(L196="sieć ciepłownicza",0,IF(L196="prąd",0,0)))))))</f>
        <v>3.3E-4</v>
      </c>
      <c r="Y196" s="639">
        <f>IF(L196="węgiel",R196*'Założenia,wskaźniki, listy'!$C$49, IF(L196="gaz",R196*'Założenia,wskaźniki, listy'!$D$49, IF(L196="drewno",R196*'Założenia,wskaźniki, listy'!$E$49,IF(L196="pelet",R196*'Założenia,wskaźniki, listy'!$F$49,IF(L196="olej opałowy",R196*'Założenia,wskaźniki, listy'!$G$49,IF(L196="sieć ciepłownicza",0,IF(L196="prąd",0,0)))))))</f>
        <v>2.4000000000000002E-3</v>
      </c>
      <c r="Z196" s="639">
        <f>IF(L196="węgiel",R196*'Założenia,wskaźniki, listy'!$C$50,IF(L196="gaz",R196*'Założenia,wskaźniki, listy'!$D$50, IF(L196="drewno",R196*'Założenia,wskaźniki, listy'!$E$50,IF(L196="pelet",R196*'Założenia,wskaźniki, listy'!$F$50,IF(L196="pelet",R196*'Założenia,wskaźniki, listy'!$F$50,IF(L196="olej opałowy",R196*'Założenia,wskaźniki, listy'!$G$50,IF(L196="sieć ciepłownicza",0,IF(L196="prąd",0,0))))))))</f>
        <v>5.3819999999999996E-3</v>
      </c>
      <c r="AA196" s="639">
        <f>IF(N196="węgiel",Q196*'Założenia,wskaźniki, listy'!$C$44,IF(N196="gaz",Q196*'Założenia,wskaźniki, listy'!$D$44,IF(N196="drewno",Q196*'Założenia,wskaźniki, listy'!$E$44,IF(N196="pelet",Q196*'Założenia,wskaźniki, listy'!$G$44,IF(N196="olej opałowy",Q196*'Założenia,wskaźniki, listy'!$G$44,IF(N196="sieć ciepłownicza",0,IF(N196="prąd",0,0)))))))</f>
        <v>0</v>
      </c>
      <c r="AB196" s="639">
        <f>IF(N196="węgiel",Q196*'Założenia,wskaźniki, listy'!$C$45,IF(N196="gaz",Q196*'Założenia,wskaźniki, listy'!$D$45,IF(N196="drewno",Q196*'Założenia,wskaźniki, listy'!$E$45,IF(N196="pelet",Q196*'Założenia,wskaźniki, listy'!$G$45,IF(N196="olej opałowy",Q196*'Założenia,wskaźniki, listy'!$G$45,IF(N196="sieć ciepłownicza",0,IF(N196="prąd",0,0)))))))</f>
        <v>0</v>
      </c>
      <c r="AC196" s="639">
        <f>IF(N196="węgiel",Q196*'Założenia,wskaźniki, listy'!$C$46,IF(N196="gaz",Q196*'Założenia,wskaźniki, listy'!$D$46,IF(N196="drewno",Q196*'Założenia,wskaźniki, listy'!$E$46,IF(N196="pelet",Q196*'Założenia,wskaźniki, listy'!$G$46,IF(N196="olej opałowy",Q196*'Założenia,wskaźniki, listy'!$G$46,IF(N196="sieć ciepłownicza",0,IF(N196="prąd",0,0)))))))</f>
        <v>0</v>
      </c>
      <c r="AD196" s="639">
        <f>IF(N196="węgiel",Q196*'Założenia,wskaźniki, listy'!$C$47,IF(N196="gaz",Q196*'Założenia,wskaźniki, listy'!$D$47,IF(N196="drewno",Q196*'Założenia,wskaźniki, listy'!$E$47,IF(N196="pelet",Q196*'Założenia,wskaźniki, listy'!$G$47,IF(N196="olej opałowy",Q196*'Założenia,wskaźniki, listy'!$G$47,IF(N196="sieć ciepłownicza",0,IF(N196="prąd",0,0)))))))</f>
        <v>0</v>
      </c>
      <c r="AE196" s="639">
        <f>IF(N196="węgiel",Q196*'Założenia,wskaźniki, listy'!$C$48,IF(N196="gaz",Q196*'Założenia,wskaźniki, listy'!$D$48,IF(N196="drewno",Q196*'Założenia,wskaźniki, listy'!$E$48,IF(N196="pelet",Q196*'Założenia,wskaźniki, listy'!$G$48,IF(N196="olej opałowy",Q196*'Założenia,wskaźniki, listy'!$G$48,IF(N196="sieć ciepłownicza",0,IF(N196="prąd",0,0)))))))</f>
        <v>0</v>
      </c>
      <c r="AF196" s="639">
        <f>IF(N196="węgiel",Q196*'Założenia,wskaźniki, listy'!$C$49,IF(N196="gaz",Q196*'Założenia,wskaźniki, listy'!$D$49,IF(N196="drewno",Q196*'Założenia,wskaźniki, listy'!$E$49,IF(N196="pelet",Q196*'Założenia,wskaźniki, listy'!$G$49,IF(N196="olej opałowy",Q196*'Założenia,wskaźniki, listy'!$G$49,IF(N196="sieć ciepłownicza",0,IF(N196="prąd",0,0)))))))</f>
        <v>0</v>
      </c>
      <c r="AG196" s="639">
        <f>IF(N196="węgiel",Q196*'Założenia,wskaźniki, listy'!$C$50,IF(N196="gaz",Q196*'Założenia,wskaźniki, listy'!$D$50,IF(N196="drewno",Q196*'Założenia,wskaźniki, listy'!$E$50,IF(N196="pelet",Q196*'Założenia,wskaźniki, listy'!$G$50,IF(N196="olej opałowy",Q196*'Założenia,wskaźniki, listy'!$G$50,IF(N196="sieć ciepłownicza",0,IF(N196="prąd",0,0)))))))</f>
        <v>0</v>
      </c>
      <c r="AH196" s="640">
        <f>IF(L196="węgiel",(P196+R196)/2*'Założenia,wskaźniki, listy'!$C$4,IF(L196="gaz",(P196+R196)/2*'Założenia,wskaźniki, listy'!$C$5,IF(L196="drewno",(P196+R196)/2*'Założenia,wskaźniki, listy'!$C$6,IF(L196="pelet",(P196+R196)/2*'Założenia,wskaźniki, listy'!$C$7,IF(L196="olej opałowy",(P196+R196)/2*'Założenia,wskaźniki, listy'!$C$8,IF(L196="sieć ciepłownicza",(P196+R196)/2*'Założenia,wskaźniki, listy'!$C$9,IF(L196="sieć ciepłownicza",(P196+R196)/2*'Założenia,wskaźniki, listy'!$C$10,)))))))</f>
        <v>570</v>
      </c>
      <c r="AI196" s="640">
        <f>IF(N196="węgiel",Q196*'Założenia,wskaźniki, listy'!$C$4,IF(N196="gaz",Q196*'Założenia,wskaźniki, listy'!$C$5,IF(N196="drewno",Q196*'Założenia,wskaźniki, listy'!$C$6,IF(N196="pelet",Q196*'Założenia,wskaźniki, listy'!$C$7,IF(N196="olej opałowy",Q196*'Założenia,wskaźniki, listy'!$C$8,IF(N196="sieć ciepłownicza",Q196*'Założenia,wskaźniki, listy'!$C$9,IF(N196="sieć ciepłownicza",Q196*'Założenia,wskaźniki, listy'!$C$10,0)))))))</f>
        <v>0</v>
      </c>
      <c r="AJ196" s="640">
        <f>S196*'Założenia,wskaźniki, listy'!$B$64*1000</f>
        <v>0</v>
      </c>
      <c r="AK196" s="640">
        <f>(H196+I196)*'Założenia,wskaźniki, listy'!$D$64*12</f>
        <v>0</v>
      </c>
      <c r="AL196" s="640">
        <f>AK196*'Założenia,wskaźniki, listy'!$F$64</f>
        <v>0</v>
      </c>
      <c r="AM196" s="639">
        <f t="shared" si="347"/>
        <v>1.44E-2</v>
      </c>
      <c r="AN196" s="639">
        <f t="shared" si="348"/>
        <v>1.41E-2</v>
      </c>
      <c r="AO196" s="639">
        <f>V196+AC196+S196*'Założenia,wskaźniki, listy'!$J$46</f>
        <v>0</v>
      </c>
      <c r="AP196" s="639">
        <f t="shared" si="349"/>
        <v>3.6300000000000004E-6</v>
      </c>
      <c r="AQ196" s="639">
        <f t="shared" si="350"/>
        <v>3.3E-4</v>
      </c>
      <c r="AR196" s="639">
        <f t="shared" si="351"/>
        <v>2.4000000000000002E-3</v>
      </c>
      <c r="AS196" s="639">
        <f t="shared" si="352"/>
        <v>5.3819999999999996E-3</v>
      </c>
      <c r="AT196" s="647"/>
      <c r="AU196" s="647"/>
      <c r="AV196" s="624">
        <f t="shared" ref="AV196:AV204" si="375">IF(F196&lt;=1966,G196)</f>
        <v>0</v>
      </c>
      <c r="AW196" s="624" t="b">
        <f t="shared" ref="AW196:AW204" si="376">IF(K196="kompletna",AV196,IF(K196="częściowa",0.5*AV196))</f>
        <v>0</v>
      </c>
      <c r="AX196" s="624" t="b">
        <f t="shared" ref="AX196:AX204" si="377">IF(F196&gt;1966,IF(F196&lt;=1985,G196))</f>
        <v>0</v>
      </c>
      <c r="AY196" s="624" t="b">
        <f t="shared" ref="AY196:AY204" si="378">IF(K196="kompletna",AX196,IF(K196="częściowa",0.5*AX196))</f>
        <v>0</v>
      </c>
      <c r="AZ196" s="624" t="b">
        <f t="shared" ref="AZ196:AZ204" si="379">IF(F196&gt;1985,IF(F196&lt;=1992,G196))</f>
        <v>0</v>
      </c>
      <c r="BA196" s="624" t="b">
        <f t="shared" ref="BA196:BA204" si="380">IF(K196="kompletna",AZ196,IF(K196="częściowa",0.5*AZ196))</f>
        <v>0</v>
      </c>
      <c r="BB196" s="624" t="b">
        <f t="shared" ref="BB196:BB204" si="381">IF(F196&gt;1992,IF(F196&lt;=1996,G196))</f>
        <v>0</v>
      </c>
      <c r="BC196" s="624" t="b">
        <f t="shared" ref="BC196:BC204" si="382">IF(K196="kompletna",BB196,IF(K196="częściowa",0.5*BB196))</f>
        <v>0</v>
      </c>
      <c r="BD196" s="624" t="b">
        <f t="shared" ref="BD196:BD204" si="383">IF(F196&gt;1996,IF(F196&lt;=2014,G196))</f>
        <v>0</v>
      </c>
      <c r="BE196" s="624" t="b">
        <f t="shared" ref="BE196:BE204" si="384">IF(K196="kompletna",BD196,IF(K196="częściowa",0.5*BD196))</f>
        <v>0</v>
      </c>
      <c r="BF196" s="624" t="b">
        <f t="shared" ref="BF196:BF204" si="385">IF(L196="węgiel",R196)</f>
        <v>0</v>
      </c>
      <c r="BG196" s="624" t="b">
        <f t="shared" ref="BG196:BG204" si="386">IF(L196="gaz",R196)</f>
        <v>0</v>
      </c>
      <c r="BH196" s="624">
        <f t="shared" ref="BH196:BH204" si="387">IF(L196="drewno",R196)</f>
        <v>30</v>
      </c>
      <c r="BI196" s="624" t="b">
        <f t="shared" ref="BI196:BI204" si="388">IF(L196="pelet",R196)</f>
        <v>0</v>
      </c>
      <c r="BJ196" s="624" t="b">
        <f t="shared" ref="BJ196:BJ204" si="389">IF(L196="olej opałowy",R196)</f>
        <v>0</v>
      </c>
      <c r="BK196" s="624" t="b">
        <f t="shared" ref="BK196:BK204" si="390">IF(L196="energia el.",R196)</f>
        <v>0</v>
      </c>
      <c r="BL196" s="624" t="b">
        <f t="shared" ref="BL196:BL204" si="391">IF(N196="węgiel",Q196)</f>
        <v>0</v>
      </c>
      <c r="BM196" s="624" t="b">
        <f t="shared" ref="BM196:BM204" si="392">IF(N196="gaz",Q196)</f>
        <v>0</v>
      </c>
      <c r="BN196" s="624" t="b">
        <f t="shared" ref="BN196:BN204" si="393">IF(N196="drewno",Q196)</f>
        <v>0</v>
      </c>
      <c r="BO196" s="624" t="b">
        <f t="shared" ref="BO196:BO204" si="394">IF(N196="pelet",Q196)</f>
        <v>0</v>
      </c>
      <c r="BP196" s="624" t="b">
        <f t="shared" ref="BP196:BP204" si="395">IF(N196="olej opałowy",Q196)</f>
        <v>0</v>
      </c>
      <c r="BQ196" s="624" t="b">
        <f t="shared" ref="BQ196:BQ204" si="396">IF(N196="energia el.",Q196)</f>
        <v>0</v>
      </c>
    </row>
    <row r="197" spans="1:70" ht="8.25" customHeight="1">
      <c r="A197" s="1086">
        <v>97</v>
      </c>
      <c r="B197" s="872" t="s">
        <v>21</v>
      </c>
      <c r="C197" s="873" t="s">
        <v>640</v>
      </c>
      <c r="D197" s="645"/>
      <c r="E197" s="645">
        <v>8</v>
      </c>
      <c r="F197" s="872">
        <v>1967</v>
      </c>
      <c r="G197" s="644">
        <v>65</v>
      </c>
      <c r="H197" s="644"/>
      <c r="I197" s="635"/>
      <c r="J197" s="644">
        <f>IF(F197&lt;=1966,'Założenia,wskaźniki, listy'!$H$4,IF(F197&gt;1966,IF(F197&lt;=1985,'Założenia,wskaźniki, listy'!$H$5,IF(F197&gt;1985,IF(F197&lt;=1992,'Założenia,wskaźniki, listy'!$H$6,IF(F197&gt;1992,IF(F197&lt;=1996,'Założenia,wskaźniki, listy'!$H$7,IF(F197&gt;1996,IF(F197&lt;=2015,'Założenia,wskaźniki, listy'!$H$8)))))))))</f>
        <v>250</v>
      </c>
      <c r="K197" s="864" t="s">
        <v>31</v>
      </c>
      <c r="L197" s="644" t="s">
        <v>8</v>
      </c>
      <c r="M197" s="644">
        <v>1.5</v>
      </c>
      <c r="N197" s="644"/>
      <c r="O197" s="637">
        <f t="shared" si="374"/>
        <v>46.207499999999996</v>
      </c>
      <c r="P197" s="646">
        <f>IF(K197="kompletna",J197*G197*0.0036*'Założenia,wskaźniki, listy'!$P$9,IF(K197="częściowa",J197*G197*0.0036*'Założenia,wskaźniki, listy'!$P$10,IF(K197="brak",J197*G197*0.0036*'Założenia,wskaźniki, listy'!$P$11,0)))</f>
        <v>58.5</v>
      </c>
      <c r="Q197" s="638">
        <f>H197*'Założenia,wskaźniki, listy'!$L$15</f>
        <v>0</v>
      </c>
      <c r="R197" s="635">
        <f>IF(L197="węgiel",'Mieszkalne - baza'!M197*'Założenia,wskaźniki, listy'!$B$4,IF(L197="gaz",'Mieszkalne - baza'!M197*'Założenia,wskaźniki, listy'!$B$5,IF(L197="drewno",'Mieszkalne - baza'!M197*'Założenia,wskaźniki, listy'!$B$6,IF(L197="pelet",'Mieszkalne - baza'!M197*'Założenia,wskaźniki, listy'!$B$7,IF(L197="olej opałowy",'Mieszkalne - baza'!M197*'Założenia,wskaźniki, listy'!$B$8,IF(L197="sieć ciepłownicza",0,0))))))</f>
        <v>33.914999999999999</v>
      </c>
      <c r="S197" s="1084">
        <v>1.8048000000000002</v>
      </c>
      <c r="T197" s="639">
        <f>IF(L197="węgiel",R197*'Założenia,wskaźniki, listy'!$C$44,IF(L197="gaz",R197*'Założenia,wskaźniki, listy'!$D$44,IF(L197="drewno",R197*'Założenia,wskaźniki, listy'!$E$44,IF(L197="pelet",R197*'Założenia,wskaźniki, listy'!$F$44,IF(L197="olej opałowy",R197*'Założenia,wskaźniki, listy'!$G$44,IF(L197="sieć ciepłownicza",0,IF(L197="prąd",0,0)))))))</f>
        <v>7.6308749999999996E-3</v>
      </c>
      <c r="U197" s="639">
        <f>IF(L197="węgiel",R197*'Założenia,wskaźniki, listy'!$C$45,IF(L197="gaz",R197*'Założenia,wskaźniki, listy'!$D$45,IF(L197="drewno",R197*'Założenia,wskaźniki, listy'!$E$45,IF(L197="pelet",R197*'Założenia,wskaźniki, listy'!$F$45,IF(L197="olej opałowy",R197*'Założenia,wskaźniki, listy'!$G$45,IF(L197="sieć ciepłownicza",0,IF(L197="prąd",0,0)))))))</f>
        <v>6.8169149999999998E-3</v>
      </c>
      <c r="V197" s="639">
        <f>IF(L197="węgiel",R197*'Założenia,wskaźniki, listy'!$C$46,IF(L197="gaz",R197*'Założenia,wskaźniki, listy'!$D$46,IF(L197="drewno",R197*'Założenia,wskaźniki, listy'!$E$46,IF(L197="pelet",R197*'Założenia,wskaźniki, listy'!$F$46,IF(L197="olej opałowy",R197*'Założenia,wskaźniki, listy'!$G$46,IF(L197="sieć ciepłownicza",R197*'Założenia,wskaźniki, listy'!$H$46,IF(L197="prąd",R197*'Założenia,wskaźniki, listy'!$I$46,0)))))))</f>
        <v>3.1791920999999994</v>
      </c>
      <c r="W197" s="639">
        <f>IF(L197="węgiel",R197*'Założenia,wskaźniki, listy'!$C$47,IF(L197="gaz",R197*'Założenia,wskaźniki, listy'!$D$47,IF(L197="drewno",R197*'Założenia,wskaźniki, listy'!$E$47,IF(L197="pelet",R197*'Założenia,wskaźniki, listy'!$F$47,IF(L197="olej opałowy",R197*'Założenia,wskaźniki, listy'!$G$47,IF(L197="sieć ciepłownicza",0,IF(L197="prąd",0,0)))))))</f>
        <v>9.1570500000000007E-6</v>
      </c>
      <c r="X197" s="639">
        <f>IF(L197="węgiel",R197*'Założenia,wskaźniki, listy'!$C$48, IF(L197="gaz",R197*'Założenia,wskaźniki, listy'!$D$48,IF(L197="drewno",R197*'Założenia,wskaźniki, listy'!$E$48,IF(L197="pelet",R197*'Założenia,wskaźniki, listy'!$F$48,IF(L197="olej opałowy",R197*'Założenia,wskaźniki, listy'!$G$48,IF(L197="sieć ciepłownicza",0,IF(L197="prąd",0,0)))))))</f>
        <v>3.0523499999999999E-2</v>
      </c>
      <c r="Y197" s="639">
        <f>IF(L197="węgiel",R197*'Założenia,wskaźniki, listy'!$C$49, IF(L197="gaz",R197*'Założenia,wskaźniki, listy'!$D$49, IF(L197="drewno",R197*'Założenia,wskaźniki, listy'!$E$49,IF(L197="pelet",R197*'Założenia,wskaźniki, listy'!$F$49,IF(L197="olej opałowy",R197*'Założenia,wskaźniki, listy'!$G$49,IF(L197="sieć ciepłownicza",0,IF(L197="prąd",0,0)))))))</f>
        <v>5.35857E-3</v>
      </c>
      <c r="Z197" s="639">
        <f>IF(L197="węgiel",R197*'Założenia,wskaźniki, listy'!$C$50,IF(L197="gaz",R197*'Założenia,wskaźniki, listy'!$D$50, IF(L197="drewno",R197*'Założenia,wskaźniki, listy'!$E$50,IF(L197="pelet",R197*'Założenia,wskaźniki, listy'!$F$50,IF(L197="pelet",R197*'Założenia,wskaźniki, listy'!$F$50,IF(L197="olej opałowy",R197*'Założenia,wskaźniki, listy'!$G$50,IF(L197="sieć ciepłownicza",0,IF(L197="prąd",0,0))))))))</f>
        <v>6.8224184175234681E-2</v>
      </c>
      <c r="AA197" s="639">
        <f>IF(N197="węgiel",Q197*'Założenia,wskaźniki, listy'!$C$44,IF(N197="gaz",Q197*'Założenia,wskaźniki, listy'!$D$44,IF(N197="drewno",Q197*'Założenia,wskaźniki, listy'!$E$44,IF(N197="pelet",Q197*'Założenia,wskaźniki, listy'!$G$44,IF(N197="olej opałowy",Q197*'Założenia,wskaźniki, listy'!$G$44,IF(N197="sieć ciepłownicza",0,IF(N197="prąd",0,0)))))))</f>
        <v>0</v>
      </c>
      <c r="AB197" s="639">
        <f>IF(N197="węgiel",Q197*'Założenia,wskaźniki, listy'!$C$45,IF(N197="gaz",Q197*'Założenia,wskaźniki, listy'!$D$45,IF(N197="drewno",Q197*'Założenia,wskaźniki, listy'!$E$45,IF(N197="pelet",Q197*'Założenia,wskaźniki, listy'!$G$45,IF(N197="olej opałowy",Q197*'Założenia,wskaźniki, listy'!$G$45,IF(N197="sieć ciepłownicza",0,IF(N197="prąd",0,0)))))))</f>
        <v>0</v>
      </c>
      <c r="AC197" s="639">
        <f>IF(N197="węgiel",Q197*'Założenia,wskaźniki, listy'!$C$46,IF(N197="gaz",Q197*'Założenia,wskaźniki, listy'!$D$46,IF(N197="drewno",Q197*'Założenia,wskaźniki, listy'!$E$46,IF(N197="pelet",Q197*'Założenia,wskaźniki, listy'!$G$46,IF(N197="olej opałowy",Q197*'Założenia,wskaźniki, listy'!$G$46,IF(N197="sieć ciepłownicza",0,IF(N197="prąd",0,0)))))))</f>
        <v>0</v>
      </c>
      <c r="AD197" s="639">
        <f>IF(N197="węgiel",Q197*'Założenia,wskaźniki, listy'!$C$47,IF(N197="gaz",Q197*'Założenia,wskaźniki, listy'!$D$47,IF(N197="drewno",Q197*'Założenia,wskaźniki, listy'!$E$47,IF(N197="pelet",Q197*'Założenia,wskaźniki, listy'!$G$47,IF(N197="olej opałowy",Q197*'Założenia,wskaźniki, listy'!$G$47,IF(N197="sieć ciepłownicza",0,IF(N197="prąd",0,0)))))))</f>
        <v>0</v>
      </c>
      <c r="AE197" s="639">
        <f>IF(N197="węgiel",Q197*'Założenia,wskaźniki, listy'!$C$48,IF(N197="gaz",Q197*'Założenia,wskaźniki, listy'!$D$48,IF(N197="drewno",Q197*'Założenia,wskaźniki, listy'!$E$48,IF(N197="pelet",Q197*'Założenia,wskaźniki, listy'!$G$48,IF(N197="olej opałowy",Q197*'Założenia,wskaźniki, listy'!$G$48,IF(N197="sieć ciepłownicza",0,IF(N197="prąd",0,0)))))))</f>
        <v>0</v>
      </c>
      <c r="AF197" s="639">
        <f>IF(N197="węgiel",Q197*'Założenia,wskaźniki, listy'!$C$49,IF(N197="gaz",Q197*'Założenia,wskaźniki, listy'!$D$49,IF(N197="drewno",Q197*'Założenia,wskaźniki, listy'!$E$49,IF(N197="pelet",Q197*'Założenia,wskaźniki, listy'!$G$49,IF(N197="olej opałowy",Q197*'Założenia,wskaźniki, listy'!$G$49,IF(N197="sieć ciepłownicza",0,IF(N197="prąd",0,0)))))))</f>
        <v>0</v>
      </c>
      <c r="AG197" s="639">
        <f>IF(N197="węgiel",Q197*'Założenia,wskaźniki, listy'!$C$50,IF(N197="gaz",Q197*'Założenia,wskaźniki, listy'!$D$50,IF(N197="drewno",Q197*'Założenia,wskaźniki, listy'!$E$50,IF(N197="pelet",Q197*'Założenia,wskaźniki, listy'!$G$50,IF(N197="olej opałowy",Q197*'Założenia,wskaźniki, listy'!$G$50,IF(N197="sieć ciepłownicza",0,IF(N197="prąd",0,0)))))))</f>
        <v>0</v>
      </c>
      <c r="AH197" s="640">
        <f>IF(L197="węgiel",(P197+R197)/2*'Założenia,wskaźniki, listy'!$C$4,IF(L197="gaz",(P197+R197)/2*'Założenia,wskaźniki, listy'!$C$5,IF(L197="drewno",(P197+R197)/2*'Założenia,wskaźniki, listy'!$C$6,IF(L197="pelet",(P197+R197)/2*'Założenia,wskaźniki, listy'!$C$7,IF(L197="olej opałowy",(P197+R197)/2*'Założenia,wskaźniki, listy'!$C$8,IF(L197="sieć ciepłownicza",(P197+R197)/2*'Założenia,wskaźniki, listy'!$C$9,IF(L197="sieć ciepłownicza",(P197+R197)/2*'Założenia,wskaźniki, listy'!$C$10,)))))))</f>
        <v>1894.5074999999999</v>
      </c>
      <c r="AI197" s="640">
        <f>IF(N197="węgiel",Q197*'Założenia,wskaźniki, listy'!$C$4,IF(N197="gaz",Q197*'Założenia,wskaźniki, listy'!$C$5,IF(N197="drewno",Q197*'Założenia,wskaźniki, listy'!$C$6,IF(N197="pelet",Q197*'Założenia,wskaźniki, listy'!$C$7,IF(N197="olej opałowy",Q197*'Założenia,wskaźniki, listy'!$C$8,IF(N197="sieć ciepłownicza",Q197*'Założenia,wskaźniki, listy'!$C$9,IF(N197="sieć ciepłownicza",Q197*'Założenia,wskaźniki, listy'!$C$10,0)))))))</f>
        <v>0</v>
      </c>
      <c r="AJ197" s="640">
        <f>S197*'Założenia,wskaźniki, listy'!$B$64*1000</f>
        <v>1281.4080000000001</v>
      </c>
      <c r="AK197" s="640">
        <f>(H197+I197)*'Założenia,wskaźniki, listy'!$D$64*12</f>
        <v>0</v>
      </c>
      <c r="AL197" s="640">
        <f>AK197*'Założenia,wskaźniki, listy'!$F$64</f>
        <v>0</v>
      </c>
      <c r="AM197" s="639">
        <f t="shared" si="347"/>
        <v>7.6308749999999996E-3</v>
      </c>
      <c r="AN197" s="639">
        <f t="shared" si="348"/>
        <v>6.8169149999999998E-3</v>
      </c>
      <c r="AO197" s="639">
        <f>V197+AC197+S197*'Założenia,wskaźniki, listy'!$J$46</f>
        <v>4.6798832999999993</v>
      </c>
      <c r="AP197" s="639">
        <f t="shared" si="349"/>
        <v>9.1570500000000007E-6</v>
      </c>
      <c r="AQ197" s="639">
        <f t="shared" si="350"/>
        <v>3.0523499999999999E-2</v>
      </c>
      <c r="AR197" s="639">
        <f t="shared" si="351"/>
        <v>5.35857E-3</v>
      </c>
      <c r="AS197" s="639">
        <f t="shared" si="352"/>
        <v>6.8224184175234681E-2</v>
      </c>
      <c r="AT197" s="647"/>
      <c r="AU197" s="647"/>
      <c r="AV197" s="624" t="b">
        <f t="shared" si="375"/>
        <v>0</v>
      </c>
      <c r="AW197" s="624" t="b">
        <f t="shared" si="376"/>
        <v>0</v>
      </c>
      <c r="AX197" s="624">
        <f t="shared" si="377"/>
        <v>65</v>
      </c>
      <c r="AY197" s="624" t="b">
        <f t="shared" si="378"/>
        <v>0</v>
      </c>
      <c r="AZ197" s="624" t="b">
        <f t="shared" si="379"/>
        <v>0</v>
      </c>
      <c r="BA197" s="624" t="b">
        <f t="shared" si="380"/>
        <v>0</v>
      </c>
      <c r="BB197" s="624" t="b">
        <f t="shared" si="381"/>
        <v>0</v>
      </c>
      <c r="BC197" s="624" t="b">
        <f t="shared" si="382"/>
        <v>0</v>
      </c>
      <c r="BD197" s="624" t="b">
        <f t="shared" si="383"/>
        <v>0</v>
      </c>
      <c r="BE197" s="624" t="b">
        <f t="shared" si="384"/>
        <v>0</v>
      </c>
      <c r="BF197" s="624">
        <f t="shared" si="385"/>
        <v>33.914999999999999</v>
      </c>
      <c r="BG197" s="624" t="b">
        <f t="shared" si="386"/>
        <v>0</v>
      </c>
      <c r="BH197" s="624" t="b">
        <f t="shared" si="387"/>
        <v>0</v>
      </c>
      <c r="BI197" s="624" t="b">
        <f t="shared" si="388"/>
        <v>0</v>
      </c>
      <c r="BJ197" s="624" t="b">
        <f t="shared" si="389"/>
        <v>0</v>
      </c>
      <c r="BK197" s="624" t="b">
        <f t="shared" si="390"/>
        <v>0</v>
      </c>
      <c r="BL197" s="624" t="b">
        <f t="shared" si="391"/>
        <v>0</v>
      </c>
      <c r="BM197" s="624" t="b">
        <f t="shared" si="392"/>
        <v>0</v>
      </c>
      <c r="BN197" s="624" t="b">
        <f t="shared" si="393"/>
        <v>0</v>
      </c>
      <c r="BO197" s="624" t="b">
        <f t="shared" si="394"/>
        <v>0</v>
      </c>
      <c r="BP197" s="624" t="b">
        <f t="shared" si="395"/>
        <v>0</v>
      </c>
      <c r="BQ197" s="624" t="b">
        <f t="shared" si="396"/>
        <v>0</v>
      </c>
    </row>
    <row r="198" spans="1:70" ht="8.25" customHeight="1">
      <c r="A198" s="1087"/>
      <c r="B198" s="872"/>
      <c r="C198" s="644"/>
      <c r="D198" s="645"/>
      <c r="E198" s="645"/>
      <c r="F198" s="644"/>
      <c r="G198" s="644"/>
      <c r="H198" s="644"/>
      <c r="I198" s="635"/>
      <c r="J198" s="644">
        <f>IF(F198&lt;=1966,'Założenia,wskaźniki, listy'!$H$4,IF(F198&gt;1966,IF(F198&lt;=1985,'Założenia,wskaźniki, listy'!$H$5,IF(F198&gt;1985,IF(F198&lt;=1992,'Założenia,wskaźniki, listy'!$H$6,IF(F198&gt;1992,IF(F198&lt;=1996,'Założenia,wskaźniki, listy'!$H$7,IF(F198&gt;1996,IF(F198&lt;=2015,'Założenia,wskaźniki, listy'!$H$8)))))))))</f>
        <v>290</v>
      </c>
      <c r="K198" s="864"/>
      <c r="L198" s="644" t="s">
        <v>79</v>
      </c>
      <c r="M198" s="644">
        <v>1</v>
      </c>
      <c r="N198" s="644"/>
      <c r="O198" s="637">
        <f t="shared" si="374"/>
        <v>15</v>
      </c>
      <c r="P198" s="646">
        <f>IF(K198="kompletna",J198*G198*0.0036*'Założenia,wskaźniki, listy'!$P$9,IF(K198="częściowa",J198*G198*0.0036*'Założenia,wskaźniki, listy'!$P$10,IF(K198="brak",J198*G198*0.0036*'Założenia,wskaźniki, listy'!$P$11,0)))</f>
        <v>0</v>
      </c>
      <c r="Q198" s="638">
        <f>H198*'Założenia,wskaźniki, listy'!$L$15</f>
        <v>0</v>
      </c>
      <c r="R198" s="635">
        <f>IF(L198="węgiel",'Mieszkalne - baza'!M198*'Założenia,wskaźniki, listy'!$B$4,IF(L198="gaz",'Mieszkalne - baza'!M198*'Założenia,wskaźniki, listy'!$B$5,IF(L198="drewno",'Mieszkalne - baza'!M198*'Założenia,wskaźniki, listy'!$B$6,IF(L198="pelet",'Mieszkalne - baza'!M198*'Założenia,wskaźniki, listy'!$B$7,IF(L198="olej opałowy",'Mieszkalne - baza'!M198*'Założenia,wskaźniki, listy'!$B$8,IF(L198="sieć ciepłownicza",0,0))))))</f>
        <v>15</v>
      </c>
      <c r="S198" s="1085"/>
      <c r="T198" s="639">
        <f>IF(L198="węgiel",R198*'Założenia,wskaźniki, listy'!$C$44,IF(L198="gaz",R198*'Założenia,wskaźniki, listy'!$D$44,IF(L198="drewno",R198*'Założenia,wskaźniki, listy'!$E$44,IF(L198="pelet",R198*'Założenia,wskaźniki, listy'!$F$44,IF(L198="olej opałowy",R198*'Założenia,wskaźniki, listy'!$G$44,IF(L198="sieć ciepłownicza",0,IF(L198="prąd",0,0)))))))</f>
        <v>7.1999999999999998E-3</v>
      </c>
      <c r="U198" s="639">
        <f>IF(L198="węgiel",R198*'Założenia,wskaźniki, listy'!$C$45,IF(L198="gaz",R198*'Założenia,wskaźniki, listy'!$D$45,IF(L198="drewno",R198*'Założenia,wskaźniki, listy'!$E$45,IF(L198="pelet",R198*'Założenia,wskaźniki, listy'!$F$45,IF(L198="olej opałowy",R198*'Założenia,wskaźniki, listy'!$G$45,IF(L198="sieć ciepłownicza",0,IF(L198="prąd",0,0)))))))</f>
        <v>7.0499999999999998E-3</v>
      </c>
      <c r="V198" s="639">
        <f>IF(L198="węgiel",R198*'Założenia,wskaźniki, listy'!$C$46,IF(L198="gaz",R198*'Założenia,wskaźniki, listy'!$D$46,IF(L198="drewno",R198*'Założenia,wskaźniki, listy'!$E$46,IF(L198="pelet",R198*'Założenia,wskaźniki, listy'!$F$46,IF(L198="olej opałowy",R198*'Założenia,wskaźniki, listy'!$G$46,IF(L198="sieć ciepłownicza",R198*'Założenia,wskaźniki, listy'!$H$46,IF(L198="prąd",R198*'Założenia,wskaźniki, listy'!$I$46,0)))))))</f>
        <v>0</v>
      </c>
      <c r="W198" s="639">
        <f>IF(L198="węgiel",R198*'Założenia,wskaźniki, listy'!$C$47,IF(L198="gaz",R198*'Założenia,wskaźniki, listy'!$D$47,IF(L198="drewno",R198*'Założenia,wskaźniki, listy'!$E$47,IF(L198="pelet",R198*'Założenia,wskaźniki, listy'!$F$47,IF(L198="olej opałowy",R198*'Założenia,wskaźniki, listy'!$G$47,IF(L198="sieć ciepłownicza",0,IF(L198="prąd",0,0)))))))</f>
        <v>1.8150000000000002E-6</v>
      </c>
      <c r="X198" s="639">
        <f>IF(L198="węgiel",R198*'Założenia,wskaźniki, listy'!$C$48, IF(L198="gaz",R198*'Założenia,wskaźniki, listy'!$D$48,IF(L198="drewno",R198*'Założenia,wskaźniki, listy'!$E$48,IF(L198="pelet",R198*'Założenia,wskaźniki, listy'!$F$48,IF(L198="olej opałowy",R198*'Założenia,wskaźniki, listy'!$G$48,IF(L198="sieć ciepłownicza",0,IF(L198="prąd",0,0)))))))</f>
        <v>1.65E-4</v>
      </c>
      <c r="Y198" s="639">
        <f>IF(L198="węgiel",R198*'Założenia,wskaźniki, listy'!$C$49, IF(L198="gaz",R198*'Założenia,wskaźniki, listy'!$D$49, IF(L198="drewno",R198*'Założenia,wskaźniki, listy'!$E$49,IF(L198="pelet",R198*'Założenia,wskaźniki, listy'!$F$49,IF(L198="olej opałowy",R198*'Założenia,wskaźniki, listy'!$G$49,IF(L198="sieć ciepłownicza",0,IF(L198="prąd",0,0)))))))</f>
        <v>1.2000000000000001E-3</v>
      </c>
      <c r="Z198" s="639">
        <f>IF(L198="węgiel",R198*'Założenia,wskaźniki, listy'!$C$50,IF(L198="gaz",R198*'Założenia,wskaźniki, listy'!$D$50, IF(L198="drewno",R198*'Założenia,wskaźniki, listy'!$E$50,IF(L198="pelet",R198*'Założenia,wskaźniki, listy'!$F$50,IF(L198="pelet",R198*'Założenia,wskaźniki, listy'!$F$50,IF(L198="olej opałowy",R198*'Założenia,wskaźniki, listy'!$G$50,IF(L198="sieć ciepłownicza",0,IF(L198="prąd",0,0))))))))</f>
        <v>2.6909999999999998E-3</v>
      </c>
      <c r="AA198" s="639">
        <f>IF(N198="węgiel",Q198*'Założenia,wskaźniki, listy'!$C$44,IF(N198="gaz",Q198*'Założenia,wskaźniki, listy'!$D$44,IF(N198="drewno",Q198*'Założenia,wskaźniki, listy'!$E$44,IF(N198="pelet",Q198*'Założenia,wskaźniki, listy'!$G$44,IF(N198="olej opałowy",Q198*'Założenia,wskaźniki, listy'!$G$44,IF(N198="sieć ciepłownicza",0,IF(N198="prąd",0,0)))))))</f>
        <v>0</v>
      </c>
      <c r="AB198" s="639">
        <f>IF(N198="węgiel",Q198*'Założenia,wskaźniki, listy'!$C$45,IF(N198="gaz",Q198*'Założenia,wskaźniki, listy'!$D$45,IF(N198="drewno",Q198*'Założenia,wskaźniki, listy'!$E$45,IF(N198="pelet",Q198*'Założenia,wskaźniki, listy'!$G$45,IF(N198="olej opałowy",Q198*'Założenia,wskaźniki, listy'!$G$45,IF(N198="sieć ciepłownicza",0,IF(N198="prąd",0,0)))))))</f>
        <v>0</v>
      </c>
      <c r="AC198" s="639">
        <f>IF(N198="węgiel",Q198*'Założenia,wskaźniki, listy'!$C$46,IF(N198="gaz",Q198*'Założenia,wskaźniki, listy'!$D$46,IF(N198="drewno",Q198*'Założenia,wskaźniki, listy'!$E$46,IF(N198="pelet",Q198*'Założenia,wskaźniki, listy'!$G$46,IF(N198="olej opałowy",Q198*'Założenia,wskaźniki, listy'!$G$46,IF(N198="sieć ciepłownicza",0,IF(N198="prąd",0,0)))))))</f>
        <v>0</v>
      </c>
      <c r="AD198" s="639">
        <f>IF(N198="węgiel",Q198*'Założenia,wskaźniki, listy'!$C$47,IF(N198="gaz",Q198*'Założenia,wskaźniki, listy'!$D$47,IF(N198="drewno",Q198*'Założenia,wskaźniki, listy'!$E$47,IF(N198="pelet",Q198*'Założenia,wskaźniki, listy'!$G$47,IF(N198="olej opałowy",Q198*'Założenia,wskaźniki, listy'!$G$47,IF(N198="sieć ciepłownicza",0,IF(N198="prąd",0,0)))))))</f>
        <v>0</v>
      </c>
      <c r="AE198" s="639">
        <f>IF(N198="węgiel",Q198*'Założenia,wskaźniki, listy'!$C$48,IF(N198="gaz",Q198*'Założenia,wskaźniki, listy'!$D$48,IF(N198="drewno",Q198*'Założenia,wskaźniki, listy'!$E$48,IF(N198="pelet",Q198*'Założenia,wskaźniki, listy'!$G$48,IF(N198="olej opałowy",Q198*'Założenia,wskaźniki, listy'!$G$48,IF(N198="sieć ciepłownicza",0,IF(N198="prąd",0,0)))))))</f>
        <v>0</v>
      </c>
      <c r="AF198" s="639">
        <f>IF(N198="węgiel",Q198*'Założenia,wskaźniki, listy'!$C$49,IF(N198="gaz",Q198*'Założenia,wskaźniki, listy'!$D$49,IF(N198="drewno",Q198*'Założenia,wskaźniki, listy'!$E$49,IF(N198="pelet",Q198*'Założenia,wskaźniki, listy'!$G$49,IF(N198="olej opałowy",Q198*'Założenia,wskaźniki, listy'!$G$49,IF(N198="sieć ciepłownicza",0,IF(N198="prąd",0,0)))))))</f>
        <v>0</v>
      </c>
      <c r="AG198" s="639">
        <f>IF(N198="węgiel",Q198*'Założenia,wskaźniki, listy'!$C$50,IF(N198="gaz",Q198*'Założenia,wskaźniki, listy'!$D$50,IF(N198="drewno",Q198*'Założenia,wskaźniki, listy'!$E$50,IF(N198="pelet",Q198*'Założenia,wskaźniki, listy'!$G$50,IF(N198="olej opałowy",Q198*'Założenia,wskaźniki, listy'!$G$50,IF(N198="sieć ciepłownicza",0,IF(N198="prąd",0,0)))))))</f>
        <v>0</v>
      </c>
      <c r="AH198" s="640">
        <f>IF(L198="węgiel",(P198+R198)/2*'Założenia,wskaźniki, listy'!$C$4,IF(L198="gaz",(P198+R198)/2*'Założenia,wskaźniki, listy'!$C$5,IF(L198="drewno",(P198+R198)/2*'Założenia,wskaźniki, listy'!$C$6,IF(L198="pelet",(P198+R198)/2*'Założenia,wskaźniki, listy'!$C$7,IF(L198="olej opałowy",(P198+R198)/2*'Założenia,wskaźniki, listy'!$C$8,IF(L198="sieć ciepłownicza",(P198+R198)/2*'Założenia,wskaźniki, listy'!$C$9,IF(L198="sieć ciepłownicza",(P198+R198)/2*'Założenia,wskaźniki, listy'!$C$10,)))))))</f>
        <v>285</v>
      </c>
      <c r="AI198" s="640">
        <f>IF(N198="węgiel",Q198*'Założenia,wskaźniki, listy'!$C$4,IF(N198="gaz",Q198*'Założenia,wskaźniki, listy'!$C$5,IF(N198="drewno",Q198*'Założenia,wskaźniki, listy'!$C$6,IF(N198="pelet",Q198*'Założenia,wskaźniki, listy'!$C$7,IF(N198="olej opałowy",Q198*'Założenia,wskaźniki, listy'!$C$8,IF(N198="sieć ciepłownicza",Q198*'Założenia,wskaźniki, listy'!$C$9,IF(N198="sieć ciepłownicza",Q198*'Założenia,wskaźniki, listy'!$C$10,0)))))))</f>
        <v>0</v>
      </c>
      <c r="AJ198" s="640">
        <f>S198*'Założenia,wskaźniki, listy'!$B$64*1000</f>
        <v>0</v>
      </c>
      <c r="AK198" s="640">
        <f>(H198+I198)*'Założenia,wskaźniki, listy'!$D$64*12</f>
        <v>0</v>
      </c>
      <c r="AL198" s="640">
        <f>AK198*'Założenia,wskaźniki, listy'!$F$64</f>
        <v>0</v>
      </c>
      <c r="AM198" s="639">
        <f t="shared" si="347"/>
        <v>7.1999999999999998E-3</v>
      </c>
      <c r="AN198" s="639">
        <f t="shared" si="348"/>
        <v>7.0499999999999998E-3</v>
      </c>
      <c r="AO198" s="639">
        <f>V198+AC198+S198*'Założenia,wskaźniki, listy'!$J$46</f>
        <v>0</v>
      </c>
      <c r="AP198" s="639">
        <f t="shared" si="349"/>
        <v>1.8150000000000002E-6</v>
      </c>
      <c r="AQ198" s="639">
        <f t="shared" si="350"/>
        <v>1.65E-4</v>
      </c>
      <c r="AR198" s="639">
        <f t="shared" si="351"/>
        <v>1.2000000000000001E-3</v>
      </c>
      <c r="AS198" s="639">
        <f t="shared" si="352"/>
        <v>2.6909999999999998E-3</v>
      </c>
      <c r="AT198" s="647"/>
      <c r="AU198" s="647"/>
      <c r="AV198" s="624">
        <f t="shared" si="375"/>
        <v>0</v>
      </c>
      <c r="AW198" s="624" t="b">
        <f t="shared" si="376"/>
        <v>0</v>
      </c>
      <c r="AX198" s="624" t="b">
        <f t="shared" si="377"/>
        <v>0</v>
      </c>
      <c r="AY198" s="624" t="b">
        <f t="shared" si="378"/>
        <v>0</v>
      </c>
      <c r="AZ198" s="624" t="b">
        <f t="shared" si="379"/>
        <v>0</v>
      </c>
      <c r="BA198" s="624" t="b">
        <f t="shared" si="380"/>
        <v>0</v>
      </c>
      <c r="BB198" s="624" t="b">
        <f t="shared" si="381"/>
        <v>0</v>
      </c>
      <c r="BC198" s="624" t="b">
        <f t="shared" si="382"/>
        <v>0</v>
      </c>
      <c r="BD198" s="624" t="b">
        <f t="shared" si="383"/>
        <v>0</v>
      </c>
      <c r="BE198" s="624" t="b">
        <f t="shared" si="384"/>
        <v>0</v>
      </c>
      <c r="BF198" s="624" t="b">
        <f t="shared" si="385"/>
        <v>0</v>
      </c>
      <c r="BG198" s="624" t="b">
        <f t="shared" si="386"/>
        <v>0</v>
      </c>
      <c r="BH198" s="624">
        <f t="shared" si="387"/>
        <v>15</v>
      </c>
      <c r="BI198" s="624" t="b">
        <f t="shared" si="388"/>
        <v>0</v>
      </c>
      <c r="BJ198" s="624" t="b">
        <f t="shared" si="389"/>
        <v>0</v>
      </c>
      <c r="BK198" s="624" t="b">
        <f t="shared" si="390"/>
        <v>0</v>
      </c>
      <c r="BL198" s="624" t="b">
        <f t="shared" si="391"/>
        <v>0</v>
      </c>
      <c r="BM198" s="624" t="b">
        <f t="shared" si="392"/>
        <v>0</v>
      </c>
      <c r="BN198" s="624" t="b">
        <f t="shared" si="393"/>
        <v>0</v>
      </c>
      <c r="BO198" s="624" t="b">
        <f t="shared" si="394"/>
        <v>0</v>
      </c>
      <c r="BP198" s="624" t="b">
        <f t="shared" si="395"/>
        <v>0</v>
      </c>
      <c r="BQ198" s="624" t="b">
        <f t="shared" si="396"/>
        <v>0</v>
      </c>
    </row>
    <row r="199" spans="1:70" ht="8.25" customHeight="1">
      <c r="A199" s="1086">
        <v>98</v>
      </c>
      <c r="B199" s="872" t="s">
        <v>21</v>
      </c>
      <c r="C199" s="873" t="s">
        <v>640</v>
      </c>
      <c r="D199" s="645"/>
      <c r="E199" s="645">
        <v>10</v>
      </c>
      <c r="F199" s="644">
        <v>1993</v>
      </c>
      <c r="G199" s="644">
        <v>200</v>
      </c>
      <c r="H199" s="644"/>
      <c r="I199" s="635"/>
      <c r="J199" s="644">
        <f>IF(F199&lt;=1966,'Założenia,wskaźniki, listy'!$H$4,IF(F199&gt;1966,IF(F199&lt;=1985,'Założenia,wskaźniki, listy'!$H$5,IF(F199&gt;1985,IF(F199&lt;=1992,'Założenia,wskaźniki, listy'!$H$6,IF(F199&gt;1992,IF(F199&lt;=1996,'Założenia,wskaźniki, listy'!$H$7,IF(F199&gt;1996,IF(F199&lt;=2015,'Założenia,wskaźniki, listy'!$H$8)))))))))</f>
        <v>130</v>
      </c>
      <c r="K199" s="864" t="s">
        <v>31</v>
      </c>
      <c r="L199" s="644" t="s">
        <v>8</v>
      </c>
      <c r="M199" s="644">
        <v>3</v>
      </c>
      <c r="N199" s="644"/>
      <c r="O199" s="637">
        <f t="shared" si="374"/>
        <v>80.715000000000003</v>
      </c>
      <c r="P199" s="646">
        <f>IF(K199="kompletna",J199*G199*0.0036*'Założenia,wskaźniki, listy'!$P$9,IF(K199="częściowa",J199*G199*0.0036*'Założenia,wskaźniki, listy'!$P$10,IF(K199="brak",J199*G199*0.0036*'Założenia,wskaźniki, listy'!$P$11,0)))</f>
        <v>93.6</v>
      </c>
      <c r="Q199" s="638">
        <f>H199*'Założenia,wskaźniki, listy'!$L$15</f>
        <v>0</v>
      </c>
      <c r="R199" s="635">
        <f>IF(L199="węgiel",'Mieszkalne - baza'!M199*'Założenia,wskaźniki, listy'!$B$4,IF(L199="gaz",'Mieszkalne - baza'!M199*'Założenia,wskaźniki, listy'!$B$5,IF(L199="drewno",'Mieszkalne - baza'!M199*'Założenia,wskaźniki, listy'!$B$6,IF(L199="pelet",'Mieszkalne - baza'!M199*'Założenia,wskaźniki, listy'!$B$7,IF(L199="olej opałowy",'Mieszkalne - baza'!M199*'Założenia,wskaźniki, listy'!$B$8,IF(L199="sieć ciepłownicza",0,0))))))</f>
        <v>67.83</v>
      </c>
      <c r="S199" s="1084">
        <v>2.4816000000000003</v>
      </c>
      <c r="T199" s="639">
        <f>IF(L199="węgiel",R199*'Założenia,wskaźniki, listy'!$C$44,IF(L199="gaz",R199*'Założenia,wskaźniki, listy'!$D$44,IF(L199="drewno",R199*'Założenia,wskaźniki, listy'!$E$44,IF(L199="pelet",R199*'Założenia,wskaźniki, listy'!$F$44,IF(L199="olej opałowy",R199*'Założenia,wskaźniki, listy'!$G$44,IF(L199="sieć ciepłownicza",0,IF(L199="prąd",0,0)))))))</f>
        <v>1.5261749999999999E-2</v>
      </c>
      <c r="U199" s="639">
        <f>IF(L199="węgiel",R199*'Założenia,wskaźniki, listy'!$C$45,IF(L199="gaz",R199*'Założenia,wskaźniki, listy'!$D$45,IF(L199="drewno",R199*'Założenia,wskaźniki, listy'!$E$45,IF(L199="pelet",R199*'Założenia,wskaźniki, listy'!$F$45,IF(L199="olej opałowy",R199*'Założenia,wskaźniki, listy'!$G$45,IF(L199="sieć ciepłownicza",0,IF(L199="prąd",0,0)))))))</f>
        <v>1.363383E-2</v>
      </c>
      <c r="V199" s="639">
        <f>IF(L199="węgiel",R199*'Założenia,wskaźniki, listy'!$C$46,IF(L199="gaz",R199*'Założenia,wskaźniki, listy'!$D$46,IF(L199="drewno",R199*'Założenia,wskaźniki, listy'!$E$46,IF(L199="pelet",R199*'Założenia,wskaźniki, listy'!$F$46,IF(L199="olej opałowy",R199*'Założenia,wskaźniki, listy'!$G$46,IF(L199="sieć ciepłownicza",R199*'Założenia,wskaźniki, listy'!$H$46,IF(L199="prąd",R199*'Założenia,wskaźniki, listy'!$I$46,0)))))))</f>
        <v>6.3583841999999988</v>
      </c>
      <c r="W199" s="639">
        <f>IF(L199="węgiel",R199*'Założenia,wskaźniki, listy'!$C$47,IF(L199="gaz",R199*'Założenia,wskaźniki, listy'!$D$47,IF(L199="drewno",R199*'Założenia,wskaźniki, listy'!$E$47,IF(L199="pelet",R199*'Założenia,wskaźniki, listy'!$F$47,IF(L199="olej opałowy",R199*'Założenia,wskaźniki, listy'!$G$47,IF(L199="sieć ciepłownicza",0,IF(L199="prąd",0,0)))))))</f>
        <v>1.8314100000000001E-5</v>
      </c>
      <c r="X199" s="639">
        <f>IF(L199="węgiel",R199*'Założenia,wskaźniki, listy'!$C$48, IF(L199="gaz",R199*'Założenia,wskaźniki, listy'!$D$48,IF(L199="drewno",R199*'Założenia,wskaźniki, listy'!$E$48,IF(L199="pelet",R199*'Założenia,wskaźniki, listy'!$F$48,IF(L199="olej opałowy",R199*'Założenia,wskaźniki, listy'!$G$48,IF(L199="sieć ciepłownicza",0,IF(L199="prąd",0,0)))))))</f>
        <v>6.1046999999999997E-2</v>
      </c>
      <c r="Y199" s="639">
        <f>IF(L199="węgiel",R199*'Założenia,wskaźniki, listy'!$C$49, IF(L199="gaz",R199*'Założenia,wskaźniki, listy'!$D$49, IF(L199="drewno",R199*'Założenia,wskaźniki, listy'!$E$49,IF(L199="pelet",R199*'Założenia,wskaźniki, listy'!$F$49,IF(L199="olej opałowy",R199*'Założenia,wskaźniki, listy'!$G$49,IF(L199="sieć ciepłownicza",0,IF(L199="prąd",0,0)))))))</f>
        <v>1.071714E-2</v>
      </c>
      <c r="Z199" s="639">
        <f>IF(L199="węgiel",R199*'Założenia,wskaźniki, listy'!$C$50,IF(L199="gaz",R199*'Założenia,wskaźniki, listy'!$D$50, IF(L199="drewno",R199*'Założenia,wskaźniki, listy'!$E$50,IF(L199="pelet",R199*'Założenia,wskaźniki, listy'!$F$50,IF(L199="pelet",R199*'Założenia,wskaźniki, listy'!$F$50,IF(L199="olej opałowy",R199*'Założenia,wskaźniki, listy'!$G$50,IF(L199="sieć ciepłownicza",0,IF(L199="prąd",0,0))))))))</f>
        <v>0.13644836835046936</v>
      </c>
      <c r="AA199" s="639">
        <f>IF(N199="węgiel",Q199*'Założenia,wskaźniki, listy'!$C$44,IF(N199="gaz",Q199*'Założenia,wskaźniki, listy'!$D$44,IF(N199="drewno",Q199*'Założenia,wskaźniki, listy'!$E$44,IF(N199="pelet",Q199*'Założenia,wskaźniki, listy'!$G$44,IF(N199="olej opałowy",Q199*'Założenia,wskaźniki, listy'!$G$44,IF(N199="sieć ciepłownicza",0,IF(N199="prąd",0,0)))))))</f>
        <v>0</v>
      </c>
      <c r="AB199" s="639">
        <f>IF(N199="węgiel",Q199*'Założenia,wskaźniki, listy'!$C$45,IF(N199="gaz",Q199*'Założenia,wskaźniki, listy'!$D$45,IF(N199="drewno",Q199*'Założenia,wskaźniki, listy'!$E$45,IF(N199="pelet",Q199*'Założenia,wskaźniki, listy'!$G$45,IF(N199="olej opałowy",Q199*'Założenia,wskaźniki, listy'!$G$45,IF(N199="sieć ciepłownicza",0,IF(N199="prąd",0,0)))))))</f>
        <v>0</v>
      </c>
      <c r="AC199" s="639">
        <f>IF(N199="węgiel",Q199*'Założenia,wskaźniki, listy'!$C$46,IF(N199="gaz",Q199*'Założenia,wskaźniki, listy'!$D$46,IF(N199="drewno",Q199*'Założenia,wskaźniki, listy'!$E$46,IF(N199="pelet",Q199*'Założenia,wskaźniki, listy'!$G$46,IF(N199="olej opałowy",Q199*'Założenia,wskaźniki, listy'!$G$46,IF(N199="sieć ciepłownicza",0,IF(N199="prąd",0,0)))))))</f>
        <v>0</v>
      </c>
      <c r="AD199" s="639">
        <f>IF(N199="węgiel",Q199*'Założenia,wskaźniki, listy'!$C$47,IF(N199="gaz",Q199*'Założenia,wskaźniki, listy'!$D$47,IF(N199="drewno",Q199*'Założenia,wskaźniki, listy'!$E$47,IF(N199="pelet",Q199*'Założenia,wskaźniki, listy'!$G$47,IF(N199="olej opałowy",Q199*'Założenia,wskaźniki, listy'!$G$47,IF(N199="sieć ciepłownicza",0,IF(N199="prąd",0,0)))))))</f>
        <v>0</v>
      </c>
      <c r="AE199" s="639">
        <f>IF(N199="węgiel",Q199*'Założenia,wskaźniki, listy'!$C$48,IF(N199="gaz",Q199*'Założenia,wskaźniki, listy'!$D$48,IF(N199="drewno",Q199*'Założenia,wskaźniki, listy'!$E$48,IF(N199="pelet",Q199*'Założenia,wskaźniki, listy'!$G$48,IF(N199="olej opałowy",Q199*'Założenia,wskaźniki, listy'!$G$48,IF(N199="sieć ciepłownicza",0,IF(N199="prąd",0,0)))))))</f>
        <v>0</v>
      </c>
      <c r="AF199" s="639">
        <f>IF(N199="węgiel",Q199*'Założenia,wskaźniki, listy'!$C$49,IF(N199="gaz",Q199*'Założenia,wskaźniki, listy'!$D$49,IF(N199="drewno",Q199*'Założenia,wskaźniki, listy'!$E$49,IF(N199="pelet",Q199*'Założenia,wskaźniki, listy'!$G$49,IF(N199="olej opałowy",Q199*'Założenia,wskaźniki, listy'!$G$49,IF(N199="sieć ciepłownicza",0,IF(N199="prąd",0,0)))))))</f>
        <v>0</v>
      </c>
      <c r="AG199" s="639">
        <f>IF(N199="węgiel",Q199*'Założenia,wskaźniki, listy'!$C$50,IF(N199="gaz",Q199*'Założenia,wskaźniki, listy'!$D$50,IF(N199="drewno",Q199*'Założenia,wskaźniki, listy'!$E$50,IF(N199="pelet",Q199*'Założenia,wskaźniki, listy'!$G$50,IF(N199="olej opałowy",Q199*'Założenia,wskaźniki, listy'!$G$50,IF(N199="sieć ciepłownicza",0,IF(N199="prąd",0,0)))))))</f>
        <v>0</v>
      </c>
      <c r="AH199" s="640">
        <f>IF(L199="węgiel",(P199+R199)/2*'Założenia,wskaźniki, listy'!$C$4,IF(L199="gaz",(P199+R199)/2*'Założenia,wskaźniki, listy'!$C$5,IF(L199="drewno",(P199+R199)/2*'Założenia,wskaźniki, listy'!$C$6,IF(L199="pelet",(P199+R199)/2*'Założenia,wskaźniki, listy'!$C$7,IF(L199="olej opałowy",(P199+R199)/2*'Założenia,wskaźniki, listy'!$C$8,IF(L199="sieć ciepłownicza",(P199+R199)/2*'Założenia,wskaźniki, listy'!$C$9,IF(L199="sieć ciepłownicza",(P199+R199)/2*'Założenia,wskaźniki, listy'!$C$10,)))))))</f>
        <v>3309.3150000000001</v>
      </c>
      <c r="AI199" s="640">
        <f>IF(N199="węgiel",Q199*'Założenia,wskaźniki, listy'!$C$4,IF(N199="gaz",Q199*'Założenia,wskaźniki, listy'!$C$5,IF(N199="drewno",Q199*'Założenia,wskaźniki, listy'!$C$6,IF(N199="pelet",Q199*'Założenia,wskaźniki, listy'!$C$7,IF(N199="olej opałowy",Q199*'Założenia,wskaźniki, listy'!$C$8,IF(N199="sieć ciepłownicza",Q199*'Założenia,wskaźniki, listy'!$C$9,IF(N199="sieć ciepłownicza",Q199*'Założenia,wskaźniki, listy'!$C$10,0)))))))</f>
        <v>0</v>
      </c>
      <c r="AJ199" s="640">
        <f>S199*'Założenia,wskaźniki, listy'!$B$64*1000</f>
        <v>1761.9360000000001</v>
      </c>
      <c r="AK199" s="640">
        <f>(H199+I199)*'Założenia,wskaźniki, listy'!$D$64*12</f>
        <v>0</v>
      </c>
      <c r="AL199" s="640">
        <f>AK199*'Założenia,wskaźniki, listy'!$F$64</f>
        <v>0</v>
      </c>
      <c r="AM199" s="639">
        <f t="shared" si="347"/>
        <v>1.5261749999999999E-2</v>
      </c>
      <c r="AN199" s="639">
        <f t="shared" si="348"/>
        <v>1.363383E-2</v>
      </c>
      <c r="AO199" s="639">
        <f>V199+AC199+S199*'Założenia,wskaźniki, listy'!$J$46</f>
        <v>8.4218345999999986</v>
      </c>
      <c r="AP199" s="639">
        <f t="shared" si="349"/>
        <v>1.8314100000000001E-5</v>
      </c>
      <c r="AQ199" s="639">
        <f t="shared" si="350"/>
        <v>6.1046999999999997E-2</v>
      </c>
      <c r="AR199" s="639">
        <f t="shared" si="351"/>
        <v>1.071714E-2</v>
      </c>
      <c r="AS199" s="639">
        <f t="shared" si="352"/>
        <v>0.13644836835046936</v>
      </c>
      <c r="AT199" s="647"/>
      <c r="AU199" s="647"/>
      <c r="AV199" s="624" t="b">
        <f t="shared" si="375"/>
        <v>0</v>
      </c>
      <c r="AW199" s="624" t="b">
        <f t="shared" si="376"/>
        <v>0</v>
      </c>
      <c r="AX199" s="624" t="b">
        <f t="shared" si="377"/>
        <v>0</v>
      </c>
      <c r="AY199" s="624" t="b">
        <f t="shared" si="378"/>
        <v>0</v>
      </c>
      <c r="AZ199" s="624" t="b">
        <f t="shared" si="379"/>
        <v>0</v>
      </c>
      <c r="BA199" s="624" t="b">
        <f t="shared" si="380"/>
        <v>0</v>
      </c>
      <c r="BB199" s="624">
        <f t="shared" si="381"/>
        <v>200</v>
      </c>
      <c r="BC199" s="624" t="b">
        <f t="shared" si="382"/>
        <v>0</v>
      </c>
      <c r="BD199" s="624" t="b">
        <f t="shared" si="383"/>
        <v>0</v>
      </c>
      <c r="BE199" s="624" t="b">
        <f t="shared" si="384"/>
        <v>0</v>
      </c>
      <c r="BF199" s="624">
        <f t="shared" si="385"/>
        <v>67.83</v>
      </c>
      <c r="BG199" s="624" t="b">
        <f t="shared" si="386"/>
        <v>0</v>
      </c>
      <c r="BH199" s="624" t="b">
        <f t="shared" si="387"/>
        <v>0</v>
      </c>
      <c r="BI199" s="624" t="b">
        <f t="shared" si="388"/>
        <v>0</v>
      </c>
      <c r="BJ199" s="624" t="b">
        <f t="shared" si="389"/>
        <v>0</v>
      </c>
      <c r="BK199" s="624" t="b">
        <f t="shared" si="390"/>
        <v>0</v>
      </c>
      <c r="BL199" s="624" t="b">
        <f t="shared" si="391"/>
        <v>0</v>
      </c>
      <c r="BM199" s="624" t="b">
        <f t="shared" si="392"/>
        <v>0</v>
      </c>
      <c r="BN199" s="624" t="b">
        <f t="shared" si="393"/>
        <v>0</v>
      </c>
      <c r="BO199" s="624" t="b">
        <f t="shared" si="394"/>
        <v>0</v>
      </c>
      <c r="BP199" s="624" t="b">
        <f t="shared" si="395"/>
        <v>0</v>
      </c>
      <c r="BQ199" s="624" t="b">
        <f t="shared" si="396"/>
        <v>0</v>
      </c>
    </row>
    <row r="200" spans="1:70" ht="8.25" customHeight="1">
      <c r="A200" s="1087"/>
      <c r="B200" s="872"/>
      <c r="C200" s="644"/>
      <c r="D200" s="645"/>
      <c r="E200" s="645"/>
      <c r="F200" s="644"/>
      <c r="G200" s="644"/>
      <c r="H200" s="644"/>
      <c r="I200" s="635"/>
      <c r="J200" s="644">
        <f>IF(F200&lt;=1966,'Założenia,wskaźniki, listy'!$H$4,IF(F200&gt;1966,IF(F200&lt;=1985,'Założenia,wskaźniki, listy'!$H$5,IF(F200&gt;1985,IF(F200&lt;=1992,'Założenia,wskaźniki, listy'!$H$6,IF(F200&gt;1992,IF(F200&lt;=1996,'Założenia,wskaźniki, listy'!$H$7,IF(F200&gt;1996,IF(F200&lt;=2015,'Założenia,wskaźniki, listy'!$H$8)))))))))</f>
        <v>290</v>
      </c>
      <c r="K200" s="864"/>
      <c r="L200" s="644" t="s">
        <v>79</v>
      </c>
      <c r="M200" s="644">
        <v>1.5</v>
      </c>
      <c r="N200" s="644"/>
      <c r="O200" s="637">
        <f t="shared" si="374"/>
        <v>22.5</v>
      </c>
      <c r="P200" s="646">
        <f>IF(K200="kompletna",J200*G200*0.0036*'Założenia,wskaźniki, listy'!$P$9,IF(K200="częściowa",J200*G200*0.0036*'Założenia,wskaźniki, listy'!$P$10,IF(K200="brak",J200*G200*0.0036*'Założenia,wskaźniki, listy'!$P$11,0)))</f>
        <v>0</v>
      </c>
      <c r="Q200" s="638">
        <f>H200*'Założenia,wskaźniki, listy'!$L$15</f>
        <v>0</v>
      </c>
      <c r="R200" s="635">
        <f>IF(L200="węgiel",'Mieszkalne - baza'!M200*'Założenia,wskaźniki, listy'!$B$4,IF(L200="gaz",'Mieszkalne - baza'!M200*'Założenia,wskaźniki, listy'!$B$5,IF(L200="drewno",'Mieszkalne - baza'!M200*'Założenia,wskaźniki, listy'!$B$6,IF(L200="pelet",'Mieszkalne - baza'!M200*'Założenia,wskaźniki, listy'!$B$7,IF(L200="olej opałowy",'Mieszkalne - baza'!M200*'Założenia,wskaźniki, listy'!$B$8,IF(L200="sieć ciepłownicza",0,0))))))</f>
        <v>22.5</v>
      </c>
      <c r="S200" s="1085"/>
      <c r="T200" s="639">
        <f>IF(L200="węgiel",R200*'Założenia,wskaźniki, listy'!$C$44,IF(L200="gaz",R200*'Założenia,wskaźniki, listy'!$D$44,IF(L200="drewno",R200*'Założenia,wskaźniki, listy'!$E$44,IF(L200="pelet",R200*'Założenia,wskaźniki, listy'!$F$44,IF(L200="olej opałowy",R200*'Założenia,wskaźniki, listy'!$G$44,IF(L200="sieć ciepłownicza",0,IF(L200="prąd",0,0)))))))</f>
        <v>1.0800000000000001E-2</v>
      </c>
      <c r="U200" s="639">
        <f>IF(L200="węgiel",R200*'Założenia,wskaźniki, listy'!$C$45,IF(L200="gaz",R200*'Założenia,wskaźniki, listy'!$D$45,IF(L200="drewno",R200*'Założenia,wskaźniki, listy'!$E$45,IF(L200="pelet",R200*'Założenia,wskaźniki, listy'!$F$45,IF(L200="olej opałowy",R200*'Założenia,wskaźniki, listy'!$G$45,IF(L200="sieć ciepłownicza",0,IF(L200="prąd",0,0)))))))</f>
        <v>1.0574999999999999E-2</v>
      </c>
      <c r="V200" s="639">
        <f>IF(L200="węgiel",R200*'Założenia,wskaźniki, listy'!$C$46,IF(L200="gaz",R200*'Założenia,wskaźniki, listy'!$D$46,IF(L200="drewno",R200*'Założenia,wskaźniki, listy'!$E$46,IF(L200="pelet",R200*'Założenia,wskaźniki, listy'!$F$46,IF(L200="olej opałowy",R200*'Założenia,wskaźniki, listy'!$G$46,IF(L200="sieć ciepłownicza",R200*'Założenia,wskaźniki, listy'!$H$46,IF(L200="prąd",R200*'Założenia,wskaźniki, listy'!$I$46,0)))))))</f>
        <v>0</v>
      </c>
      <c r="W200" s="639">
        <f>IF(L200="węgiel",R200*'Założenia,wskaźniki, listy'!$C$47,IF(L200="gaz",R200*'Założenia,wskaźniki, listy'!$D$47,IF(L200="drewno",R200*'Założenia,wskaźniki, listy'!$E$47,IF(L200="pelet",R200*'Założenia,wskaźniki, listy'!$F$47,IF(L200="olej opałowy",R200*'Założenia,wskaźniki, listy'!$G$47,IF(L200="sieć ciepłownicza",0,IF(L200="prąd",0,0)))))))</f>
        <v>2.7225000000000002E-6</v>
      </c>
      <c r="X200" s="639">
        <f>IF(L200="węgiel",R200*'Założenia,wskaźniki, listy'!$C$48, IF(L200="gaz",R200*'Założenia,wskaźniki, listy'!$D$48,IF(L200="drewno",R200*'Założenia,wskaźniki, listy'!$E$48,IF(L200="pelet",R200*'Założenia,wskaźniki, listy'!$F$48,IF(L200="olej opałowy",R200*'Założenia,wskaźniki, listy'!$G$48,IF(L200="sieć ciepłownicza",0,IF(L200="prąd",0,0)))))))</f>
        <v>2.475E-4</v>
      </c>
      <c r="Y200" s="639">
        <f>IF(L200="węgiel",R200*'Założenia,wskaźniki, listy'!$C$49, IF(L200="gaz",R200*'Założenia,wskaźniki, listy'!$D$49, IF(L200="drewno",R200*'Założenia,wskaźniki, listy'!$E$49,IF(L200="pelet",R200*'Założenia,wskaźniki, listy'!$F$49,IF(L200="olej opałowy",R200*'Założenia,wskaźniki, listy'!$G$49,IF(L200="sieć ciepłownicza",0,IF(L200="prąd",0,0)))))))</f>
        <v>1.8000000000000002E-3</v>
      </c>
      <c r="Z200" s="639">
        <f>IF(L200="węgiel",R200*'Założenia,wskaźniki, listy'!$C$50,IF(L200="gaz",R200*'Założenia,wskaźniki, listy'!$D$50, IF(L200="drewno",R200*'Założenia,wskaźniki, listy'!$E$50,IF(L200="pelet",R200*'Założenia,wskaźniki, listy'!$F$50,IF(L200="pelet",R200*'Założenia,wskaźniki, listy'!$F$50,IF(L200="olej opałowy",R200*'Założenia,wskaźniki, listy'!$G$50,IF(L200="sieć ciepłownicza",0,IF(L200="prąd",0,0))))))))</f>
        <v>4.0365000000000002E-3</v>
      </c>
      <c r="AA200" s="639">
        <f>IF(N200="węgiel",Q200*'Założenia,wskaźniki, listy'!$C$44,IF(N200="gaz",Q200*'Założenia,wskaźniki, listy'!$D$44,IF(N200="drewno",Q200*'Założenia,wskaźniki, listy'!$E$44,IF(N200="pelet",Q200*'Założenia,wskaźniki, listy'!$G$44,IF(N200="olej opałowy",Q200*'Założenia,wskaźniki, listy'!$G$44,IF(N200="sieć ciepłownicza",0,IF(N200="prąd",0,0)))))))</f>
        <v>0</v>
      </c>
      <c r="AB200" s="639">
        <f>IF(N200="węgiel",Q200*'Założenia,wskaźniki, listy'!$C$45,IF(N200="gaz",Q200*'Założenia,wskaźniki, listy'!$D$45,IF(N200="drewno",Q200*'Założenia,wskaźniki, listy'!$E$45,IF(N200="pelet",Q200*'Założenia,wskaźniki, listy'!$G$45,IF(N200="olej opałowy",Q200*'Założenia,wskaźniki, listy'!$G$45,IF(N200="sieć ciepłownicza",0,IF(N200="prąd",0,0)))))))</f>
        <v>0</v>
      </c>
      <c r="AC200" s="639">
        <f>IF(N200="węgiel",Q200*'Założenia,wskaźniki, listy'!$C$46,IF(N200="gaz",Q200*'Założenia,wskaźniki, listy'!$D$46,IF(N200="drewno",Q200*'Założenia,wskaźniki, listy'!$E$46,IF(N200="pelet",Q200*'Założenia,wskaźniki, listy'!$G$46,IF(N200="olej opałowy",Q200*'Założenia,wskaźniki, listy'!$G$46,IF(N200="sieć ciepłownicza",0,IF(N200="prąd",0,0)))))))</f>
        <v>0</v>
      </c>
      <c r="AD200" s="639">
        <f>IF(N200="węgiel",Q200*'Założenia,wskaźniki, listy'!$C$47,IF(N200="gaz",Q200*'Założenia,wskaźniki, listy'!$D$47,IF(N200="drewno",Q200*'Założenia,wskaźniki, listy'!$E$47,IF(N200="pelet",Q200*'Założenia,wskaźniki, listy'!$G$47,IF(N200="olej opałowy",Q200*'Założenia,wskaźniki, listy'!$G$47,IF(N200="sieć ciepłownicza",0,IF(N200="prąd",0,0)))))))</f>
        <v>0</v>
      </c>
      <c r="AE200" s="639">
        <f>IF(N200="węgiel",Q200*'Założenia,wskaźniki, listy'!$C$48,IF(N200="gaz",Q200*'Założenia,wskaźniki, listy'!$D$48,IF(N200="drewno",Q200*'Założenia,wskaźniki, listy'!$E$48,IF(N200="pelet",Q200*'Założenia,wskaźniki, listy'!$G$48,IF(N200="olej opałowy",Q200*'Założenia,wskaźniki, listy'!$G$48,IF(N200="sieć ciepłownicza",0,IF(N200="prąd",0,0)))))))</f>
        <v>0</v>
      </c>
      <c r="AF200" s="639">
        <f>IF(N200="węgiel",Q200*'Założenia,wskaźniki, listy'!$C$49,IF(N200="gaz",Q200*'Założenia,wskaźniki, listy'!$D$49,IF(N200="drewno",Q200*'Założenia,wskaźniki, listy'!$E$49,IF(N200="pelet",Q200*'Założenia,wskaźniki, listy'!$G$49,IF(N200="olej opałowy",Q200*'Założenia,wskaźniki, listy'!$G$49,IF(N200="sieć ciepłownicza",0,IF(N200="prąd",0,0)))))))</f>
        <v>0</v>
      </c>
      <c r="AG200" s="639">
        <f>IF(N200="węgiel",Q200*'Założenia,wskaźniki, listy'!$C$50,IF(N200="gaz",Q200*'Założenia,wskaźniki, listy'!$D$50,IF(N200="drewno",Q200*'Założenia,wskaźniki, listy'!$E$50,IF(N200="pelet",Q200*'Założenia,wskaźniki, listy'!$G$50,IF(N200="olej opałowy",Q200*'Założenia,wskaźniki, listy'!$G$50,IF(N200="sieć ciepłownicza",0,IF(N200="prąd",0,0)))))))</f>
        <v>0</v>
      </c>
      <c r="AH200" s="640">
        <f>IF(L200="węgiel",(P200+R200)/2*'Założenia,wskaźniki, listy'!$C$4,IF(L200="gaz",(P200+R200)/2*'Założenia,wskaźniki, listy'!$C$5,IF(L200="drewno",(P200+R200)/2*'Założenia,wskaźniki, listy'!$C$6,IF(L200="pelet",(P200+R200)/2*'Założenia,wskaźniki, listy'!$C$7,IF(L200="olej opałowy",(P200+R200)/2*'Założenia,wskaźniki, listy'!$C$8,IF(L200="sieć ciepłownicza",(P200+R200)/2*'Założenia,wskaźniki, listy'!$C$9,IF(L200="sieć ciepłownicza",(P200+R200)/2*'Założenia,wskaźniki, listy'!$C$10,)))))))</f>
        <v>427.5</v>
      </c>
      <c r="AI200" s="640">
        <f>IF(N200="węgiel",Q200*'Założenia,wskaźniki, listy'!$C$4,IF(N200="gaz",Q200*'Założenia,wskaźniki, listy'!$C$5,IF(N200="drewno",Q200*'Założenia,wskaźniki, listy'!$C$6,IF(N200="pelet",Q200*'Założenia,wskaźniki, listy'!$C$7,IF(N200="olej opałowy",Q200*'Założenia,wskaźniki, listy'!$C$8,IF(N200="sieć ciepłownicza",Q200*'Założenia,wskaźniki, listy'!$C$9,IF(N200="sieć ciepłownicza",Q200*'Założenia,wskaźniki, listy'!$C$10,0)))))))</f>
        <v>0</v>
      </c>
      <c r="AJ200" s="640">
        <f>S200*'Założenia,wskaźniki, listy'!$B$64*1000</f>
        <v>0</v>
      </c>
      <c r="AK200" s="640">
        <f>(H200+I200)*'Założenia,wskaźniki, listy'!$D$64*12</f>
        <v>0</v>
      </c>
      <c r="AL200" s="640">
        <f>AK200*'Założenia,wskaźniki, listy'!$F$64</f>
        <v>0</v>
      </c>
      <c r="AM200" s="639">
        <f t="shared" si="347"/>
        <v>1.0800000000000001E-2</v>
      </c>
      <c r="AN200" s="639">
        <f t="shared" si="348"/>
        <v>1.0574999999999999E-2</v>
      </c>
      <c r="AO200" s="639">
        <f>V200+AC200+S200*'Założenia,wskaźniki, listy'!$J$46</f>
        <v>0</v>
      </c>
      <c r="AP200" s="639">
        <f t="shared" si="349"/>
        <v>2.7225000000000002E-6</v>
      </c>
      <c r="AQ200" s="639">
        <f t="shared" si="350"/>
        <v>2.475E-4</v>
      </c>
      <c r="AR200" s="639">
        <f t="shared" si="351"/>
        <v>1.8000000000000002E-3</v>
      </c>
      <c r="AS200" s="639">
        <f t="shared" si="352"/>
        <v>4.0365000000000002E-3</v>
      </c>
      <c r="AT200" s="647"/>
      <c r="AU200" s="647"/>
      <c r="AV200" s="624">
        <f t="shared" si="375"/>
        <v>0</v>
      </c>
      <c r="AW200" s="624" t="b">
        <f t="shared" si="376"/>
        <v>0</v>
      </c>
      <c r="AX200" s="624" t="b">
        <f t="shared" si="377"/>
        <v>0</v>
      </c>
      <c r="AY200" s="624" t="b">
        <f t="shared" si="378"/>
        <v>0</v>
      </c>
      <c r="AZ200" s="624" t="b">
        <f t="shared" si="379"/>
        <v>0</v>
      </c>
      <c r="BA200" s="624" t="b">
        <f t="shared" si="380"/>
        <v>0</v>
      </c>
      <c r="BB200" s="624" t="b">
        <f t="shared" si="381"/>
        <v>0</v>
      </c>
      <c r="BC200" s="624" t="b">
        <f t="shared" si="382"/>
        <v>0</v>
      </c>
      <c r="BD200" s="624" t="b">
        <f t="shared" si="383"/>
        <v>0</v>
      </c>
      <c r="BE200" s="624" t="b">
        <f t="shared" si="384"/>
        <v>0</v>
      </c>
      <c r="BF200" s="624" t="b">
        <f t="shared" si="385"/>
        <v>0</v>
      </c>
      <c r="BG200" s="624" t="b">
        <f t="shared" si="386"/>
        <v>0</v>
      </c>
      <c r="BH200" s="624">
        <f t="shared" si="387"/>
        <v>22.5</v>
      </c>
      <c r="BI200" s="624" t="b">
        <f t="shared" si="388"/>
        <v>0</v>
      </c>
      <c r="BJ200" s="624" t="b">
        <f t="shared" si="389"/>
        <v>0</v>
      </c>
      <c r="BK200" s="624" t="b">
        <f t="shared" si="390"/>
        <v>0</v>
      </c>
      <c r="BL200" s="624" t="b">
        <f t="shared" si="391"/>
        <v>0</v>
      </c>
      <c r="BM200" s="624" t="b">
        <f t="shared" si="392"/>
        <v>0</v>
      </c>
      <c r="BN200" s="624" t="b">
        <f t="shared" si="393"/>
        <v>0</v>
      </c>
      <c r="BO200" s="624" t="b">
        <f t="shared" si="394"/>
        <v>0</v>
      </c>
      <c r="BP200" s="624" t="b">
        <f t="shared" si="395"/>
        <v>0</v>
      </c>
      <c r="BQ200" s="624" t="b">
        <f t="shared" si="396"/>
        <v>0</v>
      </c>
    </row>
    <row r="201" spans="1:70" ht="8.25" customHeight="1">
      <c r="A201" s="1089">
        <v>99</v>
      </c>
      <c r="B201" s="872" t="s">
        <v>21</v>
      </c>
      <c r="C201" s="873" t="s">
        <v>640</v>
      </c>
      <c r="D201" s="645"/>
      <c r="E201" s="645">
        <v>9</v>
      </c>
      <c r="F201" s="644">
        <v>1964</v>
      </c>
      <c r="G201" s="644">
        <v>60</v>
      </c>
      <c r="H201" s="644"/>
      <c r="I201" s="635"/>
      <c r="J201" s="644">
        <f>IF(F201&lt;=1966,'Założenia,wskaźniki, listy'!$H$4,IF(F201&gt;1966,IF(F201&lt;=1985,'Założenia,wskaźniki, listy'!$H$5,IF(F201&gt;1985,IF(F201&lt;=1992,'Założenia,wskaźniki, listy'!$H$6,IF(F201&gt;1992,IF(F201&lt;=1996,'Założenia,wskaźniki, listy'!$H$7,IF(F201&gt;1996,IF(F201&lt;=2015,'Założenia,wskaźniki, listy'!$H$8)))))))))</f>
        <v>290</v>
      </c>
      <c r="K201" s="864" t="s">
        <v>31</v>
      </c>
      <c r="L201" s="644" t="s">
        <v>8</v>
      </c>
      <c r="M201" s="644">
        <v>2</v>
      </c>
      <c r="N201" s="644"/>
      <c r="O201" s="637">
        <f t="shared" si="374"/>
        <v>53.93</v>
      </c>
      <c r="P201" s="646">
        <f>IF(K201="kompletna",J201*G201*0.0036*'Założenia,wskaźniki, listy'!$P$9,IF(K201="częściowa",J201*G201*0.0036*'Założenia,wskaźniki, listy'!$P$10,IF(K201="brak",J201*G201*0.0036*'Założenia,wskaźniki, listy'!$P$11,0)))</f>
        <v>62.64</v>
      </c>
      <c r="Q201" s="638">
        <f>H201*'Założenia,wskaźniki, listy'!$L$15</f>
        <v>0</v>
      </c>
      <c r="R201" s="635">
        <f>IF(L201="węgiel",'Mieszkalne - baza'!M201*'Założenia,wskaźniki, listy'!$B$4,IF(L201="gaz",'Mieszkalne - baza'!M201*'Założenia,wskaźniki, listy'!$B$5,IF(L201="drewno",'Mieszkalne - baza'!M201*'Założenia,wskaźniki, listy'!$B$6,IF(L201="pelet",'Mieszkalne - baza'!M201*'Założenia,wskaźniki, listy'!$B$7,IF(L201="olej opałowy",'Mieszkalne - baza'!M201*'Założenia,wskaźniki, listy'!$B$8,IF(L201="sieć ciepłownicza",0,0))))))</f>
        <v>45.22</v>
      </c>
      <c r="S201" s="1084">
        <v>2.0304000000000002</v>
      </c>
      <c r="T201" s="639">
        <f>IF(L201="węgiel",R201*'Założenia,wskaźniki, listy'!$C$44,IF(L201="gaz",R201*'Założenia,wskaźniki, listy'!$D$44,IF(L201="drewno",R201*'Założenia,wskaźniki, listy'!$E$44,IF(L201="pelet",R201*'Założenia,wskaźniki, listy'!$F$44,IF(L201="olej opałowy",R201*'Założenia,wskaźniki, listy'!$G$44,IF(L201="sieć ciepłownicza",0,IF(L201="prąd",0,0)))))))</f>
        <v>1.01745E-2</v>
      </c>
      <c r="U201" s="639">
        <f>IF(L201="węgiel",R201*'Założenia,wskaźniki, listy'!$C$45,IF(L201="gaz",R201*'Założenia,wskaźniki, listy'!$D$45,IF(L201="drewno",R201*'Założenia,wskaźniki, listy'!$E$45,IF(L201="pelet",R201*'Założenia,wskaźniki, listy'!$F$45,IF(L201="olej opałowy",R201*'Założenia,wskaźniki, listy'!$G$45,IF(L201="sieć ciepłownicza",0,IF(L201="prąd",0,0)))))))</f>
        <v>9.0892200000000003E-3</v>
      </c>
      <c r="V201" s="639">
        <f>IF(L201="węgiel",R201*'Założenia,wskaźniki, listy'!$C$46,IF(L201="gaz",R201*'Założenia,wskaźniki, listy'!$D$46,IF(L201="drewno",R201*'Założenia,wskaźniki, listy'!$E$46,IF(L201="pelet",R201*'Założenia,wskaźniki, listy'!$F$46,IF(L201="olej opałowy",R201*'Założenia,wskaźniki, listy'!$G$46,IF(L201="sieć ciepłownicza",R201*'Założenia,wskaźniki, listy'!$H$46,IF(L201="prąd",R201*'Założenia,wskaźniki, listy'!$I$46,0)))))))</f>
        <v>4.2389227999999992</v>
      </c>
      <c r="W201" s="639">
        <f>IF(L201="węgiel",R201*'Założenia,wskaźniki, listy'!$C$47,IF(L201="gaz",R201*'Założenia,wskaźniki, listy'!$D$47,IF(L201="drewno",R201*'Założenia,wskaźniki, listy'!$E$47,IF(L201="pelet",R201*'Założenia,wskaźniki, listy'!$F$47,IF(L201="olej opałowy",R201*'Założenia,wskaźniki, listy'!$G$47,IF(L201="sieć ciepłownicza",0,IF(L201="prąd",0,0)))))))</f>
        <v>1.22094E-5</v>
      </c>
      <c r="X201" s="639">
        <f>IF(L201="węgiel",R201*'Założenia,wskaźniki, listy'!$C$48, IF(L201="gaz",R201*'Założenia,wskaźniki, listy'!$D$48,IF(L201="drewno",R201*'Założenia,wskaźniki, listy'!$E$48,IF(L201="pelet",R201*'Założenia,wskaźniki, listy'!$F$48,IF(L201="olej opałowy",R201*'Założenia,wskaźniki, listy'!$G$48,IF(L201="sieć ciepłownicza",0,IF(L201="prąd",0,0)))))))</f>
        <v>4.0697999999999998E-2</v>
      </c>
      <c r="Y201" s="639">
        <f>IF(L201="węgiel",R201*'Założenia,wskaźniki, listy'!$C$49, IF(L201="gaz",R201*'Założenia,wskaźniki, listy'!$D$49, IF(L201="drewno",R201*'Założenia,wskaźniki, listy'!$E$49,IF(L201="pelet",R201*'Założenia,wskaźniki, listy'!$F$49,IF(L201="olej opałowy",R201*'Założenia,wskaźniki, listy'!$G$49,IF(L201="sieć ciepłownicza",0,IF(L201="prąd",0,0)))))))</f>
        <v>7.1447599999999991E-3</v>
      </c>
      <c r="Z201" s="639">
        <f>IF(L201="węgiel",R201*'Założenia,wskaźniki, listy'!$C$50,IF(L201="gaz",R201*'Założenia,wskaźniki, listy'!$D$50, IF(L201="drewno",R201*'Założenia,wskaźniki, listy'!$E$50,IF(L201="pelet",R201*'Założenia,wskaźniki, listy'!$F$50,IF(L201="pelet",R201*'Założenia,wskaźniki, listy'!$F$50,IF(L201="olej opałowy",R201*'Założenia,wskaźniki, listy'!$G$50,IF(L201="sieć ciepłownicza",0,IF(L201="prąd",0,0))))))))</f>
        <v>9.0965578900312913E-2</v>
      </c>
      <c r="AA201" s="639">
        <f>IF(N201="węgiel",Q201*'Założenia,wskaźniki, listy'!$C$44,IF(N201="gaz",Q201*'Założenia,wskaźniki, listy'!$D$44,IF(N201="drewno",Q201*'Założenia,wskaźniki, listy'!$E$44,IF(N201="pelet",Q201*'Założenia,wskaźniki, listy'!$G$44,IF(N201="olej opałowy",Q201*'Założenia,wskaźniki, listy'!$G$44,IF(N201="sieć ciepłownicza",0,IF(N201="prąd",0,0)))))))</f>
        <v>0</v>
      </c>
      <c r="AB201" s="639">
        <f>IF(N201="węgiel",Q201*'Założenia,wskaźniki, listy'!$C$45,IF(N201="gaz",Q201*'Założenia,wskaźniki, listy'!$D$45,IF(N201="drewno",Q201*'Założenia,wskaźniki, listy'!$E$45,IF(N201="pelet",Q201*'Założenia,wskaźniki, listy'!$G$45,IF(N201="olej opałowy",Q201*'Założenia,wskaźniki, listy'!$G$45,IF(N201="sieć ciepłownicza",0,IF(N201="prąd",0,0)))))))</f>
        <v>0</v>
      </c>
      <c r="AC201" s="639">
        <f>IF(N201="węgiel",Q201*'Założenia,wskaźniki, listy'!$C$46,IF(N201="gaz",Q201*'Założenia,wskaźniki, listy'!$D$46,IF(N201="drewno",Q201*'Założenia,wskaźniki, listy'!$E$46,IF(N201="pelet",Q201*'Założenia,wskaźniki, listy'!$G$46,IF(N201="olej opałowy",Q201*'Założenia,wskaźniki, listy'!$G$46,IF(N201="sieć ciepłownicza",0,IF(N201="prąd",0,0)))))))</f>
        <v>0</v>
      </c>
      <c r="AD201" s="639">
        <f>IF(N201="węgiel",Q201*'Założenia,wskaźniki, listy'!$C$47,IF(N201="gaz",Q201*'Założenia,wskaźniki, listy'!$D$47,IF(N201="drewno",Q201*'Założenia,wskaźniki, listy'!$E$47,IF(N201="pelet",Q201*'Założenia,wskaźniki, listy'!$G$47,IF(N201="olej opałowy",Q201*'Założenia,wskaźniki, listy'!$G$47,IF(N201="sieć ciepłownicza",0,IF(N201="prąd",0,0)))))))</f>
        <v>0</v>
      </c>
      <c r="AE201" s="639">
        <f>IF(N201="węgiel",Q201*'Założenia,wskaźniki, listy'!$C$48,IF(N201="gaz",Q201*'Założenia,wskaźniki, listy'!$D$48,IF(N201="drewno",Q201*'Założenia,wskaźniki, listy'!$E$48,IF(N201="pelet",Q201*'Założenia,wskaźniki, listy'!$G$48,IF(N201="olej opałowy",Q201*'Założenia,wskaźniki, listy'!$G$48,IF(N201="sieć ciepłownicza",0,IF(N201="prąd",0,0)))))))</f>
        <v>0</v>
      </c>
      <c r="AF201" s="639">
        <f>IF(N201="węgiel",Q201*'Założenia,wskaźniki, listy'!$C$49,IF(N201="gaz",Q201*'Założenia,wskaźniki, listy'!$D$49,IF(N201="drewno",Q201*'Założenia,wskaźniki, listy'!$E$49,IF(N201="pelet",Q201*'Założenia,wskaźniki, listy'!$G$49,IF(N201="olej opałowy",Q201*'Założenia,wskaźniki, listy'!$G$49,IF(N201="sieć ciepłownicza",0,IF(N201="prąd",0,0)))))))</f>
        <v>0</v>
      </c>
      <c r="AG201" s="639">
        <f>IF(N201="węgiel",Q201*'Założenia,wskaźniki, listy'!$C$50,IF(N201="gaz",Q201*'Założenia,wskaźniki, listy'!$D$50,IF(N201="drewno",Q201*'Założenia,wskaźniki, listy'!$E$50,IF(N201="pelet",Q201*'Założenia,wskaźniki, listy'!$G$50,IF(N201="olej opałowy",Q201*'Założenia,wskaźniki, listy'!$G$50,IF(N201="sieć ciepłownicza",0,IF(N201="prąd",0,0)))))))</f>
        <v>0</v>
      </c>
      <c r="AH201" s="640">
        <f>IF(L201="węgiel",(P201+R201)/2*'Założenia,wskaźniki, listy'!$C$4,IF(L201="gaz",(P201+R201)/2*'Założenia,wskaźniki, listy'!$C$5,IF(L201="drewno",(P201+R201)/2*'Założenia,wskaźniki, listy'!$C$6,IF(L201="pelet",(P201+R201)/2*'Założenia,wskaźniki, listy'!$C$7,IF(L201="olej opałowy",(P201+R201)/2*'Założenia,wskaźniki, listy'!$C$8,IF(L201="sieć ciepłownicza",(P201+R201)/2*'Założenia,wskaźniki, listy'!$C$9,IF(L201="sieć ciepłownicza",(P201+R201)/2*'Założenia,wskaźniki, listy'!$C$10,)))))))</f>
        <v>2211.13</v>
      </c>
      <c r="AI201" s="640">
        <f>IF(N201="węgiel",Q201*'Założenia,wskaźniki, listy'!$C$4,IF(N201="gaz",Q201*'Założenia,wskaźniki, listy'!$C$5,IF(N201="drewno",Q201*'Założenia,wskaźniki, listy'!$C$6,IF(N201="pelet",Q201*'Założenia,wskaźniki, listy'!$C$7,IF(N201="olej opałowy",Q201*'Założenia,wskaźniki, listy'!$C$8,IF(N201="sieć ciepłownicza",Q201*'Założenia,wskaźniki, listy'!$C$9,IF(N201="sieć ciepłownicza",Q201*'Założenia,wskaźniki, listy'!$C$10,0)))))))</f>
        <v>0</v>
      </c>
      <c r="AJ201" s="640">
        <f>S201*'Założenia,wskaźniki, listy'!$B$64*1000</f>
        <v>1441.5840000000001</v>
      </c>
      <c r="AK201" s="640">
        <f>(H201+I201)*'Założenia,wskaźniki, listy'!$D$64*12</f>
        <v>0</v>
      </c>
      <c r="AL201" s="640">
        <f>AK201*'Założenia,wskaźniki, listy'!$F$64</f>
        <v>0</v>
      </c>
      <c r="AM201" s="639">
        <f t="shared" si="347"/>
        <v>1.01745E-2</v>
      </c>
      <c r="AN201" s="639">
        <f t="shared" si="348"/>
        <v>9.0892200000000003E-3</v>
      </c>
      <c r="AO201" s="639">
        <f>V201+AC201+S201*'Założenia,wskaźniki, listy'!$J$46</f>
        <v>5.9272003999999994</v>
      </c>
      <c r="AP201" s="639">
        <f t="shared" si="349"/>
        <v>1.22094E-5</v>
      </c>
      <c r="AQ201" s="639">
        <f t="shared" si="350"/>
        <v>4.0697999999999998E-2</v>
      </c>
      <c r="AR201" s="639">
        <f t="shared" si="351"/>
        <v>7.1447599999999991E-3</v>
      </c>
      <c r="AS201" s="639">
        <f t="shared" si="352"/>
        <v>9.0965578900312913E-2</v>
      </c>
      <c r="AT201" s="647"/>
      <c r="AU201" s="647"/>
      <c r="AV201" s="624">
        <f t="shared" si="375"/>
        <v>60</v>
      </c>
      <c r="AW201" s="624" t="b">
        <f t="shared" si="376"/>
        <v>0</v>
      </c>
      <c r="AX201" s="624" t="b">
        <f t="shared" si="377"/>
        <v>0</v>
      </c>
      <c r="AY201" s="624" t="b">
        <f t="shared" si="378"/>
        <v>0</v>
      </c>
      <c r="AZ201" s="624" t="b">
        <f t="shared" si="379"/>
        <v>0</v>
      </c>
      <c r="BA201" s="624" t="b">
        <f t="shared" si="380"/>
        <v>0</v>
      </c>
      <c r="BB201" s="624" t="b">
        <f t="shared" si="381"/>
        <v>0</v>
      </c>
      <c r="BC201" s="624" t="b">
        <f t="shared" si="382"/>
        <v>0</v>
      </c>
      <c r="BD201" s="624" t="b">
        <f t="shared" si="383"/>
        <v>0</v>
      </c>
      <c r="BE201" s="624" t="b">
        <f t="shared" si="384"/>
        <v>0</v>
      </c>
      <c r="BF201" s="624">
        <f t="shared" si="385"/>
        <v>45.22</v>
      </c>
      <c r="BG201" s="624" t="b">
        <f t="shared" si="386"/>
        <v>0</v>
      </c>
      <c r="BH201" s="624" t="b">
        <f t="shared" si="387"/>
        <v>0</v>
      </c>
      <c r="BI201" s="624" t="b">
        <f t="shared" si="388"/>
        <v>0</v>
      </c>
      <c r="BJ201" s="624" t="b">
        <f t="shared" si="389"/>
        <v>0</v>
      </c>
      <c r="BK201" s="624" t="b">
        <f t="shared" si="390"/>
        <v>0</v>
      </c>
      <c r="BL201" s="624" t="b">
        <f t="shared" si="391"/>
        <v>0</v>
      </c>
      <c r="BM201" s="624" t="b">
        <f t="shared" si="392"/>
        <v>0</v>
      </c>
      <c r="BN201" s="624" t="b">
        <f t="shared" si="393"/>
        <v>0</v>
      </c>
      <c r="BO201" s="624" t="b">
        <f t="shared" si="394"/>
        <v>0</v>
      </c>
      <c r="BP201" s="624" t="b">
        <f t="shared" si="395"/>
        <v>0</v>
      </c>
      <c r="BQ201" s="624" t="b">
        <f t="shared" si="396"/>
        <v>0</v>
      </c>
    </row>
    <row r="202" spans="1:70" ht="8.25" customHeight="1">
      <c r="A202" s="1090"/>
      <c r="B202" s="872"/>
      <c r="C202" s="644"/>
      <c r="D202" s="645"/>
      <c r="E202" s="645"/>
      <c r="F202" s="644"/>
      <c r="G202" s="644"/>
      <c r="H202" s="644"/>
      <c r="I202" s="635"/>
      <c r="J202" s="644">
        <f>IF(F202&lt;=1966,'Założenia,wskaźniki, listy'!$H$4,IF(F202&gt;1966,IF(F202&lt;=1985,'Założenia,wskaźniki, listy'!$H$5,IF(F202&gt;1985,IF(F202&lt;=1992,'Założenia,wskaźniki, listy'!$H$6,IF(F202&gt;1992,IF(F202&lt;=1996,'Założenia,wskaźniki, listy'!$H$7,IF(F202&gt;1996,IF(F202&lt;=2015,'Założenia,wskaźniki, listy'!$H$8)))))))))</f>
        <v>290</v>
      </c>
      <c r="K202" s="864"/>
      <c r="L202" s="644" t="s">
        <v>79</v>
      </c>
      <c r="M202" s="644">
        <v>1</v>
      </c>
      <c r="N202" s="644"/>
      <c r="O202" s="637">
        <f t="shared" si="374"/>
        <v>15</v>
      </c>
      <c r="P202" s="646">
        <f>IF(K202="kompletna",J202*G202*0.0036*'Założenia,wskaźniki, listy'!$P$9,IF(K202="częściowa",J202*G202*0.0036*'Założenia,wskaźniki, listy'!$P$10,IF(K202="brak",J202*G202*0.0036*'Założenia,wskaźniki, listy'!$P$11,0)))</f>
        <v>0</v>
      </c>
      <c r="Q202" s="638">
        <f>H202*'Założenia,wskaźniki, listy'!$L$15</f>
        <v>0</v>
      </c>
      <c r="R202" s="635">
        <f>IF(L202="węgiel",'Mieszkalne - baza'!M202*'Założenia,wskaźniki, listy'!$B$4,IF(L202="gaz",'Mieszkalne - baza'!M202*'Założenia,wskaźniki, listy'!$B$5,IF(L202="drewno",'Mieszkalne - baza'!M202*'Założenia,wskaźniki, listy'!$B$6,IF(L202="pelet",'Mieszkalne - baza'!M202*'Założenia,wskaźniki, listy'!$B$7,IF(L202="olej opałowy",'Mieszkalne - baza'!M202*'Założenia,wskaźniki, listy'!$B$8,IF(L202="sieć ciepłownicza",0,0))))))</f>
        <v>15</v>
      </c>
      <c r="S202" s="1085"/>
      <c r="T202" s="639">
        <f>IF(L202="węgiel",R202*'Założenia,wskaźniki, listy'!$C$44,IF(L202="gaz",R202*'Założenia,wskaźniki, listy'!$D$44,IF(L202="drewno",R202*'Założenia,wskaźniki, listy'!$E$44,IF(L202="pelet",R202*'Założenia,wskaźniki, listy'!$F$44,IF(L202="olej opałowy",R202*'Założenia,wskaźniki, listy'!$G$44,IF(L202="sieć ciepłownicza",0,IF(L202="prąd",0,0)))))))</f>
        <v>7.1999999999999998E-3</v>
      </c>
      <c r="U202" s="639">
        <f>IF(L202="węgiel",R202*'Założenia,wskaźniki, listy'!$C$45,IF(L202="gaz",R202*'Założenia,wskaźniki, listy'!$D$45,IF(L202="drewno",R202*'Założenia,wskaźniki, listy'!$E$45,IF(L202="pelet",R202*'Założenia,wskaźniki, listy'!$F$45,IF(L202="olej opałowy",R202*'Założenia,wskaźniki, listy'!$G$45,IF(L202="sieć ciepłownicza",0,IF(L202="prąd",0,0)))))))</f>
        <v>7.0499999999999998E-3</v>
      </c>
      <c r="V202" s="639">
        <f>IF(L202="węgiel",R202*'Założenia,wskaźniki, listy'!$C$46,IF(L202="gaz",R202*'Założenia,wskaźniki, listy'!$D$46,IF(L202="drewno",R202*'Założenia,wskaźniki, listy'!$E$46,IF(L202="pelet",R202*'Założenia,wskaźniki, listy'!$F$46,IF(L202="olej opałowy",R202*'Założenia,wskaźniki, listy'!$G$46,IF(L202="sieć ciepłownicza",R202*'Założenia,wskaźniki, listy'!$H$46,IF(L202="prąd",R202*'Założenia,wskaźniki, listy'!$I$46,0)))))))</f>
        <v>0</v>
      </c>
      <c r="W202" s="639">
        <f>IF(L202="węgiel",R202*'Założenia,wskaźniki, listy'!$C$47,IF(L202="gaz",R202*'Założenia,wskaźniki, listy'!$D$47,IF(L202="drewno",R202*'Założenia,wskaźniki, listy'!$E$47,IF(L202="pelet",R202*'Założenia,wskaźniki, listy'!$F$47,IF(L202="olej opałowy",R202*'Założenia,wskaźniki, listy'!$G$47,IF(L202="sieć ciepłownicza",0,IF(L202="prąd",0,0)))))))</f>
        <v>1.8150000000000002E-6</v>
      </c>
      <c r="X202" s="639">
        <f>IF(L202="węgiel",R202*'Założenia,wskaźniki, listy'!$C$48, IF(L202="gaz",R202*'Założenia,wskaźniki, listy'!$D$48,IF(L202="drewno",R202*'Założenia,wskaźniki, listy'!$E$48,IF(L202="pelet",R202*'Założenia,wskaźniki, listy'!$F$48,IF(L202="olej opałowy",R202*'Założenia,wskaźniki, listy'!$G$48,IF(L202="sieć ciepłownicza",0,IF(L202="prąd",0,0)))))))</f>
        <v>1.65E-4</v>
      </c>
      <c r="Y202" s="639">
        <f>IF(L202="węgiel",R202*'Założenia,wskaźniki, listy'!$C$49, IF(L202="gaz",R202*'Założenia,wskaźniki, listy'!$D$49, IF(L202="drewno",R202*'Założenia,wskaźniki, listy'!$E$49,IF(L202="pelet",R202*'Założenia,wskaźniki, listy'!$F$49,IF(L202="olej opałowy",R202*'Założenia,wskaźniki, listy'!$G$49,IF(L202="sieć ciepłownicza",0,IF(L202="prąd",0,0)))))))</f>
        <v>1.2000000000000001E-3</v>
      </c>
      <c r="Z202" s="639">
        <f>IF(L202="węgiel",R202*'Założenia,wskaźniki, listy'!$C$50,IF(L202="gaz",R202*'Założenia,wskaźniki, listy'!$D$50, IF(L202="drewno",R202*'Założenia,wskaźniki, listy'!$E$50,IF(L202="pelet",R202*'Założenia,wskaźniki, listy'!$F$50,IF(L202="pelet",R202*'Założenia,wskaźniki, listy'!$F$50,IF(L202="olej opałowy",R202*'Założenia,wskaźniki, listy'!$G$50,IF(L202="sieć ciepłownicza",0,IF(L202="prąd",0,0))))))))</f>
        <v>2.6909999999999998E-3</v>
      </c>
      <c r="AA202" s="639">
        <f>IF(N202="węgiel",Q202*'Założenia,wskaźniki, listy'!$C$44,IF(N202="gaz",Q202*'Założenia,wskaźniki, listy'!$D$44,IF(N202="drewno",Q202*'Założenia,wskaźniki, listy'!$E$44,IF(N202="pelet",Q202*'Założenia,wskaźniki, listy'!$G$44,IF(N202="olej opałowy",Q202*'Założenia,wskaźniki, listy'!$G$44,IF(N202="sieć ciepłownicza",0,IF(N202="prąd",0,0)))))))</f>
        <v>0</v>
      </c>
      <c r="AB202" s="639">
        <f>IF(N202="węgiel",Q202*'Założenia,wskaźniki, listy'!$C$45,IF(N202="gaz",Q202*'Założenia,wskaźniki, listy'!$D$45,IF(N202="drewno",Q202*'Założenia,wskaźniki, listy'!$E$45,IF(N202="pelet",Q202*'Założenia,wskaźniki, listy'!$G$45,IF(N202="olej opałowy",Q202*'Założenia,wskaźniki, listy'!$G$45,IF(N202="sieć ciepłownicza",0,IF(N202="prąd",0,0)))))))</f>
        <v>0</v>
      </c>
      <c r="AC202" s="639">
        <f>IF(N202="węgiel",Q202*'Założenia,wskaźniki, listy'!$C$46,IF(N202="gaz",Q202*'Założenia,wskaźniki, listy'!$D$46,IF(N202="drewno",Q202*'Założenia,wskaźniki, listy'!$E$46,IF(N202="pelet",Q202*'Założenia,wskaźniki, listy'!$G$46,IF(N202="olej opałowy",Q202*'Założenia,wskaźniki, listy'!$G$46,IF(N202="sieć ciepłownicza",0,IF(N202="prąd",0,0)))))))</f>
        <v>0</v>
      </c>
      <c r="AD202" s="639">
        <f>IF(N202="węgiel",Q202*'Założenia,wskaźniki, listy'!$C$47,IF(N202="gaz",Q202*'Założenia,wskaźniki, listy'!$D$47,IF(N202="drewno",Q202*'Założenia,wskaźniki, listy'!$E$47,IF(N202="pelet",Q202*'Założenia,wskaźniki, listy'!$G$47,IF(N202="olej opałowy",Q202*'Założenia,wskaźniki, listy'!$G$47,IF(N202="sieć ciepłownicza",0,IF(N202="prąd",0,0)))))))</f>
        <v>0</v>
      </c>
      <c r="AE202" s="639">
        <f>IF(N202="węgiel",Q202*'Założenia,wskaźniki, listy'!$C$48,IF(N202="gaz",Q202*'Założenia,wskaźniki, listy'!$D$48,IF(N202="drewno",Q202*'Założenia,wskaźniki, listy'!$E$48,IF(N202="pelet",Q202*'Założenia,wskaźniki, listy'!$G$48,IF(N202="olej opałowy",Q202*'Założenia,wskaźniki, listy'!$G$48,IF(N202="sieć ciepłownicza",0,IF(N202="prąd",0,0)))))))</f>
        <v>0</v>
      </c>
      <c r="AF202" s="639">
        <f>IF(N202="węgiel",Q202*'Założenia,wskaźniki, listy'!$C$49,IF(N202="gaz",Q202*'Założenia,wskaźniki, listy'!$D$49,IF(N202="drewno",Q202*'Założenia,wskaźniki, listy'!$E$49,IF(N202="pelet",Q202*'Założenia,wskaźniki, listy'!$G$49,IF(N202="olej opałowy",Q202*'Założenia,wskaźniki, listy'!$G$49,IF(N202="sieć ciepłownicza",0,IF(N202="prąd",0,0)))))))</f>
        <v>0</v>
      </c>
      <c r="AG202" s="639">
        <f>IF(N202="węgiel",Q202*'Założenia,wskaźniki, listy'!$C$50,IF(N202="gaz",Q202*'Założenia,wskaźniki, listy'!$D$50,IF(N202="drewno",Q202*'Założenia,wskaźniki, listy'!$E$50,IF(N202="pelet",Q202*'Założenia,wskaźniki, listy'!$G$50,IF(N202="olej opałowy",Q202*'Założenia,wskaźniki, listy'!$G$50,IF(N202="sieć ciepłownicza",0,IF(N202="prąd",0,0)))))))</f>
        <v>0</v>
      </c>
      <c r="AH202" s="640">
        <f>IF(L202="węgiel",(P202+R202)/2*'Założenia,wskaźniki, listy'!$C$4,IF(L202="gaz",(P202+R202)/2*'Założenia,wskaźniki, listy'!$C$5,IF(L202="drewno",(P202+R202)/2*'Założenia,wskaźniki, listy'!$C$6,IF(L202="pelet",(P202+R202)/2*'Założenia,wskaźniki, listy'!$C$7,IF(L202="olej opałowy",(P202+R202)/2*'Założenia,wskaźniki, listy'!$C$8,IF(L202="sieć ciepłownicza",(P202+R202)/2*'Założenia,wskaźniki, listy'!$C$9,IF(L202="sieć ciepłownicza",(P202+R202)/2*'Założenia,wskaźniki, listy'!$C$10,)))))))</f>
        <v>285</v>
      </c>
      <c r="AI202" s="640">
        <f>IF(N202="węgiel",Q202*'Założenia,wskaźniki, listy'!$C$4,IF(N202="gaz",Q202*'Założenia,wskaźniki, listy'!$C$5,IF(N202="drewno",Q202*'Założenia,wskaźniki, listy'!$C$6,IF(N202="pelet",Q202*'Założenia,wskaźniki, listy'!$C$7,IF(N202="olej opałowy",Q202*'Założenia,wskaźniki, listy'!$C$8,IF(N202="sieć ciepłownicza",Q202*'Założenia,wskaźniki, listy'!$C$9,IF(N202="sieć ciepłownicza",Q202*'Założenia,wskaźniki, listy'!$C$10,0)))))))</f>
        <v>0</v>
      </c>
      <c r="AJ202" s="640">
        <f>S202*'Założenia,wskaźniki, listy'!$B$64*1000</f>
        <v>0</v>
      </c>
      <c r="AK202" s="640">
        <f>(H202+I202)*'Założenia,wskaźniki, listy'!$D$64*12</f>
        <v>0</v>
      </c>
      <c r="AL202" s="640">
        <f>AK202*'Założenia,wskaźniki, listy'!$F$64</f>
        <v>0</v>
      </c>
      <c r="AM202" s="639">
        <f t="shared" si="347"/>
        <v>7.1999999999999998E-3</v>
      </c>
      <c r="AN202" s="639">
        <f t="shared" si="348"/>
        <v>7.0499999999999998E-3</v>
      </c>
      <c r="AO202" s="639">
        <f>V202+AC202+S202*'Założenia,wskaźniki, listy'!$J$46</f>
        <v>0</v>
      </c>
      <c r="AP202" s="639">
        <f t="shared" si="349"/>
        <v>1.8150000000000002E-6</v>
      </c>
      <c r="AQ202" s="639">
        <f t="shared" si="350"/>
        <v>1.65E-4</v>
      </c>
      <c r="AR202" s="639">
        <f t="shared" si="351"/>
        <v>1.2000000000000001E-3</v>
      </c>
      <c r="AS202" s="639">
        <f t="shared" si="352"/>
        <v>2.6909999999999998E-3</v>
      </c>
      <c r="AT202" s="647"/>
      <c r="AU202" s="647"/>
      <c r="AV202" s="624">
        <f t="shared" si="375"/>
        <v>0</v>
      </c>
      <c r="AW202" s="624" t="b">
        <f t="shared" si="376"/>
        <v>0</v>
      </c>
      <c r="AX202" s="624" t="b">
        <f t="shared" si="377"/>
        <v>0</v>
      </c>
      <c r="AY202" s="624" t="b">
        <f t="shared" si="378"/>
        <v>0</v>
      </c>
      <c r="AZ202" s="624" t="b">
        <f t="shared" si="379"/>
        <v>0</v>
      </c>
      <c r="BA202" s="624" t="b">
        <f t="shared" si="380"/>
        <v>0</v>
      </c>
      <c r="BB202" s="624" t="b">
        <f t="shared" si="381"/>
        <v>0</v>
      </c>
      <c r="BC202" s="624" t="b">
        <f t="shared" si="382"/>
        <v>0</v>
      </c>
      <c r="BD202" s="624" t="b">
        <f t="shared" si="383"/>
        <v>0</v>
      </c>
      <c r="BE202" s="624" t="b">
        <f t="shared" si="384"/>
        <v>0</v>
      </c>
      <c r="BF202" s="624" t="b">
        <f t="shared" si="385"/>
        <v>0</v>
      </c>
      <c r="BG202" s="624" t="b">
        <f t="shared" si="386"/>
        <v>0</v>
      </c>
      <c r="BH202" s="624">
        <f t="shared" si="387"/>
        <v>15</v>
      </c>
      <c r="BI202" s="624" t="b">
        <f t="shared" si="388"/>
        <v>0</v>
      </c>
      <c r="BJ202" s="624" t="b">
        <f t="shared" si="389"/>
        <v>0</v>
      </c>
      <c r="BK202" s="624" t="b">
        <f t="shared" si="390"/>
        <v>0</v>
      </c>
      <c r="BL202" s="624" t="b">
        <f t="shared" si="391"/>
        <v>0</v>
      </c>
      <c r="BM202" s="624" t="b">
        <f t="shared" si="392"/>
        <v>0</v>
      </c>
      <c r="BN202" s="624" t="b">
        <f t="shared" si="393"/>
        <v>0</v>
      </c>
      <c r="BO202" s="624" t="b">
        <f t="shared" si="394"/>
        <v>0</v>
      </c>
      <c r="BP202" s="624" t="b">
        <f t="shared" si="395"/>
        <v>0</v>
      </c>
      <c r="BQ202" s="624" t="b">
        <f t="shared" si="396"/>
        <v>0</v>
      </c>
    </row>
    <row r="203" spans="1:70" s="643" customFormat="1" ht="8.25" customHeight="1">
      <c r="A203" s="1086">
        <v>100</v>
      </c>
      <c r="B203" s="635" t="s">
        <v>21</v>
      </c>
      <c r="C203" s="873" t="s">
        <v>640</v>
      </c>
      <c r="D203" s="636"/>
      <c r="E203" s="636" t="s">
        <v>641</v>
      </c>
      <c r="F203" s="635">
        <v>1996</v>
      </c>
      <c r="G203" s="635">
        <v>150</v>
      </c>
      <c r="H203" s="635"/>
      <c r="I203" s="635"/>
      <c r="J203" s="635">
        <f>IF(F203&lt;=1966,'Założenia,wskaźniki, listy'!$H$4,IF(F203&gt;1966,IF(F203&lt;=1985,'Założenia,wskaźniki, listy'!$H$5,IF(F203&gt;1985,IF(F203&lt;=1992,'Założenia,wskaźniki, listy'!$H$6,IF(F203&gt;1992,IF(F203&lt;=1996,'Założenia,wskaźniki, listy'!$H$7,IF(F203&gt;1996,IF(F203&lt;=2013,'Założenia,wskaźniki, listy'!$H$8)))))))))</f>
        <v>130</v>
      </c>
      <c r="K203" s="864" t="s">
        <v>31</v>
      </c>
      <c r="L203" s="635" t="s">
        <v>8</v>
      </c>
      <c r="M203" s="635">
        <v>1.8</v>
      </c>
      <c r="N203" s="635"/>
      <c r="O203" s="637">
        <f t="shared" si="374"/>
        <v>55.448999999999998</v>
      </c>
      <c r="P203" s="638">
        <f>IF(K203="kompletna",J203*G203*0.0036*'Założenia,wskaźniki, listy'!$P$9,IF(K203="częściowa",J203*G203*0.0036*'Założenia,wskaźniki, listy'!$P$10,IF(K203="brak",J203*G203*0.0036*'Założenia,wskaźniki, listy'!$P$11,0)))</f>
        <v>70.2</v>
      </c>
      <c r="Q203" s="638">
        <f>H203*'Założenia,wskaźniki, listy'!$L$15</f>
        <v>0</v>
      </c>
      <c r="R203" s="635">
        <f>IF(L203="węgiel",'Mieszkalne - baza'!M203*'Założenia,wskaźniki, listy'!$B$4,IF(L203="gaz",'Mieszkalne - baza'!M203*'Założenia,wskaźniki, listy'!$B$5,IF(L203="drewno",'Mieszkalne - baza'!M203*'Założenia,wskaźniki, listy'!$B$6,IF(L203="pelet",'Mieszkalne - baza'!M203*'Założenia,wskaźniki, listy'!$B$7,IF(L203="olej opałowy",'Mieszkalne - baza'!M203*'Założenia,wskaźniki, listy'!$B$8,IF(L203="sieć ciepłownicza",0,0))))))</f>
        <v>40.698</v>
      </c>
      <c r="S203" s="1084">
        <v>1.6919999999999999</v>
      </c>
      <c r="T203" s="639">
        <f>IF(L203="węgiel",R203*'Założenia,wskaźniki, listy'!$C$44,IF(L203="gaz",R203*'Założenia,wskaźniki, listy'!$D$44,IF(L203="drewno",R203*'Założenia,wskaźniki, listy'!$E$44,IF(L203="pelet",R203*'Założenia,wskaźniki, listy'!$F$44,IF(L203="olej opałowy",R203*'Założenia,wskaźniki, listy'!$G$44,IF(L203="sieć ciepłownicza",0,IF(L203="prąd",0,0)))))))</f>
        <v>9.1570499999999999E-3</v>
      </c>
      <c r="U203" s="639">
        <f>IF(L203="węgiel",R203*'Założenia,wskaźniki, listy'!$C$45,IF(L203="gaz",R203*'Założenia,wskaźniki, listy'!$D$45,IF(L203="drewno",R203*'Założenia,wskaźniki, listy'!$E$45,IF(L203="pelet",R203*'Założenia,wskaźniki, listy'!$F$45,IF(L203="olej opałowy",R203*'Założenia,wskaźniki, listy'!$G$45,IF(L203="sieć ciepłownicza",0,IF(L203="prąd",0,0)))))))</f>
        <v>8.1802980000000008E-3</v>
      </c>
      <c r="V203" s="639">
        <f>IF(L203="węgiel",R203*'Założenia,wskaźniki, listy'!$C$46,IF(L203="gaz",R203*'Założenia,wskaźniki, listy'!$D$46,IF(L203="drewno",R203*'Założenia,wskaźniki, listy'!$E$46,IF(L203="pelet",R203*'Założenia,wskaźniki, listy'!$F$46,IF(L203="olej opałowy",R203*'Założenia,wskaźniki, listy'!$G$46,IF(L203="sieć ciepłownicza",R203*'Założenia,wskaźniki, listy'!$H$46,IF(L203="prąd",R203*'Założenia,wskaźniki, listy'!$I$46,0)))))))</f>
        <v>3.8150305199999996</v>
      </c>
      <c r="W203" s="639">
        <f>IF(L203="węgiel",R203*'Założenia,wskaźniki, listy'!$C$47,IF(L203="gaz",R203*'Założenia,wskaźniki, listy'!$D$47,IF(L203="drewno",R203*'Założenia,wskaźniki, listy'!$E$47,IF(L203="pelet",R203*'Założenia,wskaźniki, listy'!$F$47,IF(L203="olej opałowy",R203*'Założenia,wskaźniki, listy'!$G$47,IF(L203="sieć ciepłownicza",0,IF(L203="prąd",0,0)))))))</f>
        <v>1.098846E-5</v>
      </c>
      <c r="X203" s="639">
        <f>IF(L203="węgiel",R203*'Założenia,wskaźniki, listy'!$C$48, IF(L203="gaz",R203*'Założenia,wskaźniki, listy'!$D$48,IF(L203="drewno",R203*'Założenia,wskaźniki, listy'!$E$48,IF(L203="pelet",R203*'Założenia,wskaźniki, listy'!$F$48,IF(L203="olej opałowy",R203*'Założenia,wskaźniki, listy'!$G$48,IF(L203="sieć ciepłownicza",0,IF(L203="prąd",0,0)))))))</f>
        <v>3.66282E-2</v>
      </c>
      <c r="Y203" s="639">
        <f>IF(L203="węgiel",R203*'Założenia,wskaźniki, listy'!$C$49, IF(L203="gaz",R203*'Założenia,wskaźniki, listy'!$D$49, IF(L203="drewno",R203*'Założenia,wskaźniki, listy'!$E$49,IF(L203="pelet",R203*'Założenia,wskaźniki, listy'!$F$49,IF(L203="olej opałowy",R203*'Założenia,wskaźniki, listy'!$G$49,IF(L203="sieć ciepłownicza",0,IF(L203="prąd",0,0)))))))</f>
        <v>6.4302839999999997E-3</v>
      </c>
      <c r="Z203" s="639">
        <f>IF(L203="węgiel",R203*'Założenia,wskaźniki, listy'!$C$50,IF(L203="gaz",R203*'Założenia,wskaźniki, listy'!$D$50, IF(L203="drewno",R203*'Założenia,wskaźniki, listy'!$E$50,IF(L203="pelet",R203*'Założenia,wskaźniki, listy'!$F$50,IF(L203="pelet",R203*'Założenia,wskaźniki, listy'!$F$50,IF(L203="olej opałowy",R203*'Założenia,wskaźniki, listy'!$G$50,IF(L203="sieć ciepłownicza",0,IF(L203="prąd",0,0))))))))</f>
        <v>8.1869021010281623E-2</v>
      </c>
      <c r="AA203" s="639">
        <f>IF(N203="węgiel",Q203*'Założenia,wskaźniki, listy'!$C$44,IF(N203="gaz",Q203*'Założenia,wskaźniki, listy'!$D$44,IF(N203="drewno",Q203*'Założenia,wskaźniki, listy'!$E$44,IF(N203="pelet",Q203*'Założenia,wskaźniki, listy'!$G$44,IF(N203="olej opałowy",Q203*'Założenia,wskaźniki, listy'!$G$44,IF(N203="sieć ciepłownicza",0,IF(N203="prąd",0,0)))))))</f>
        <v>0</v>
      </c>
      <c r="AB203" s="639">
        <f>IF(N203="węgiel",Q203*'Założenia,wskaźniki, listy'!$C$45,IF(N203="gaz",Q203*'Założenia,wskaźniki, listy'!$D$45,IF(N203="drewno",Q203*'Założenia,wskaźniki, listy'!$E$45,IF(N203="pelet",Q203*'Założenia,wskaźniki, listy'!$G$45,IF(N203="olej opałowy",Q203*'Założenia,wskaźniki, listy'!$G$45,IF(N203="sieć ciepłownicza",0,IF(N203="prąd",0,0)))))))</f>
        <v>0</v>
      </c>
      <c r="AC203" s="639">
        <f>IF(N203="węgiel",Q203*'Założenia,wskaźniki, listy'!$C$46,IF(N203="gaz",Q203*'Założenia,wskaźniki, listy'!$D$46,IF(N203="drewno",Q203*'Założenia,wskaźniki, listy'!$E$46,IF(N203="pelet",Q203*'Założenia,wskaźniki, listy'!$G$46,IF(N203="olej opałowy",Q203*'Założenia,wskaźniki, listy'!$G$46,IF(N203="sieć ciepłownicza",0,IF(N203="prąd",0,0)))))))</f>
        <v>0</v>
      </c>
      <c r="AD203" s="639">
        <f>IF(N203="węgiel",Q203*'Założenia,wskaźniki, listy'!$C$47,IF(N203="gaz",Q203*'Założenia,wskaźniki, listy'!$D$47,IF(N203="drewno",Q203*'Założenia,wskaźniki, listy'!$E$47,IF(N203="pelet",Q203*'Założenia,wskaźniki, listy'!$G$47,IF(N203="olej opałowy",Q203*'Założenia,wskaźniki, listy'!$G$47,IF(N203="sieć ciepłownicza",0,IF(N203="prąd",0,0)))))))</f>
        <v>0</v>
      </c>
      <c r="AE203" s="639">
        <f>IF(N203="węgiel",Q203*'Założenia,wskaźniki, listy'!$C$48,IF(N203="gaz",Q203*'Założenia,wskaźniki, listy'!$D$48,IF(N203="drewno",Q203*'Założenia,wskaźniki, listy'!$E$48,IF(N203="pelet",Q203*'Założenia,wskaźniki, listy'!$G$48,IF(N203="olej opałowy",Q203*'Założenia,wskaźniki, listy'!$G$48,IF(N203="sieć ciepłownicza",0,IF(N203="prąd",0,0)))))))</f>
        <v>0</v>
      </c>
      <c r="AF203" s="639">
        <f>IF(N203="węgiel",Q203*'Założenia,wskaźniki, listy'!$C$49,IF(N203="gaz",Q203*'Założenia,wskaźniki, listy'!$D$49,IF(N203="drewno",Q203*'Założenia,wskaźniki, listy'!$E$49,IF(N203="pelet",Q203*'Założenia,wskaźniki, listy'!$G$49,IF(N203="olej opałowy",Q203*'Założenia,wskaźniki, listy'!$G$49,IF(N203="sieć ciepłownicza",0,IF(N203="prąd",0,0)))))))</f>
        <v>0</v>
      </c>
      <c r="AG203" s="639">
        <f>IF(N203="węgiel",Q203*'Założenia,wskaźniki, listy'!$C$50,IF(N203="gaz",Q203*'Założenia,wskaźniki, listy'!$D$50,IF(N203="drewno",Q203*'Założenia,wskaźniki, listy'!$E$50,IF(N203="pelet",Q203*'Założenia,wskaźniki, listy'!$G$50,IF(N203="olej opałowy",Q203*'Założenia,wskaźniki, listy'!$G$50,IF(N203="sieć ciepłownicza",0,IF(N203="prąd",0,0)))))))</f>
        <v>0</v>
      </c>
      <c r="AH203" s="640">
        <f>IF(L203="węgiel",(P203+R203)/2*'Założenia,wskaźniki, listy'!$C$4,IF(L203="gaz",(P203+R203)/2*'Założenia,wskaźniki, listy'!$C$5,IF(L203="drewno",(P203+R203)/2*'Założenia,wskaźniki, listy'!$C$6,IF(L203="pelet",(P203+R203)/2*'Założenia,wskaźniki, listy'!$C$7,IF(L203="olej opałowy",(P203+R203)/2*'Założenia,wskaźniki, listy'!$C$8,IF(L203="sieć ciepłownicza",(P203+R203)/2*'Założenia,wskaźniki, listy'!$C$9,IF(L203="sieć ciepłownicza",(P203+R203)/2*'Założenia,wskaźniki, listy'!$C$10,)))))))</f>
        <v>2273.4090000000001</v>
      </c>
      <c r="AI203" s="640">
        <f>IF(N203="węgiel",Q203*'Założenia,wskaźniki, listy'!$C$4,IF(N203="gaz",Q203*'Założenia,wskaźniki, listy'!$C$5,IF(N203="drewno",Q203*'Założenia,wskaźniki, listy'!$C$6,IF(N203="pelet",Q203*'Założenia,wskaźniki, listy'!$C$7,IF(N203="olej opałowy",Q203*'Założenia,wskaźniki, listy'!$C$8,IF(N203="sieć ciepłownicza",Q203*'Założenia,wskaźniki, listy'!$C$9,IF(N203="sieć ciepłownicza",Q203*'Założenia,wskaźniki, listy'!$C$10,0)))))))</f>
        <v>0</v>
      </c>
      <c r="AJ203" s="640">
        <f>S203*'Założenia,wskaźniki, listy'!$B$64*1000</f>
        <v>1201.32</v>
      </c>
      <c r="AK203" s="640">
        <f>(H203+I203)*'Założenia,wskaźniki, listy'!$D$64*12</f>
        <v>0</v>
      </c>
      <c r="AL203" s="640">
        <f>AK203*'Założenia,wskaźniki, listy'!$F$64</f>
        <v>0</v>
      </c>
      <c r="AM203" s="641">
        <f t="shared" si="347"/>
        <v>9.1570499999999999E-3</v>
      </c>
      <c r="AN203" s="641">
        <f t="shared" si="348"/>
        <v>8.1802980000000008E-3</v>
      </c>
      <c r="AO203" s="641">
        <f>V203+AC203+S203*'Założenia,wskaźniki, listy'!$J$46</f>
        <v>5.2219285199999996</v>
      </c>
      <c r="AP203" s="641">
        <f t="shared" si="349"/>
        <v>1.098846E-5</v>
      </c>
      <c r="AQ203" s="641">
        <f t="shared" si="350"/>
        <v>3.66282E-2</v>
      </c>
      <c r="AR203" s="641">
        <f t="shared" si="351"/>
        <v>6.4302839999999997E-3</v>
      </c>
      <c r="AS203" s="641">
        <f t="shared" si="352"/>
        <v>8.1869021010281623E-2</v>
      </c>
      <c r="AT203" s="642"/>
      <c r="AU203" s="642"/>
      <c r="AV203" s="624" t="b">
        <f t="shared" si="375"/>
        <v>0</v>
      </c>
      <c r="AW203" s="624" t="b">
        <f t="shared" si="376"/>
        <v>0</v>
      </c>
      <c r="AX203" s="624" t="b">
        <f t="shared" si="377"/>
        <v>0</v>
      </c>
      <c r="AY203" s="624" t="b">
        <f t="shared" si="378"/>
        <v>0</v>
      </c>
      <c r="AZ203" s="624" t="b">
        <f t="shared" si="379"/>
        <v>0</v>
      </c>
      <c r="BA203" s="624" t="b">
        <f t="shared" si="380"/>
        <v>0</v>
      </c>
      <c r="BB203" s="624">
        <f t="shared" si="381"/>
        <v>150</v>
      </c>
      <c r="BC203" s="624" t="b">
        <f t="shared" si="382"/>
        <v>0</v>
      </c>
      <c r="BD203" s="624" t="b">
        <f t="shared" si="383"/>
        <v>0</v>
      </c>
      <c r="BE203" s="624" t="b">
        <f t="shared" si="384"/>
        <v>0</v>
      </c>
      <c r="BF203" s="624">
        <f t="shared" si="385"/>
        <v>40.698</v>
      </c>
      <c r="BG203" s="624" t="b">
        <f t="shared" si="386"/>
        <v>0</v>
      </c>
      <c r="BH203" s="624" t="b">
        <f t="shared" si="387"/>
        <v>0</v>
      </c>
      <c r="BI203" s="624" t="b">
        <f t="shared" si="388"/>
        <v>0</v>
      </c>
      <c r="BJ203" s="624" t="b">
        <f t="shared" si="389"/>
        <v>0</v>
      </c>
      <c r="BK203" s="624" t="b">
        <f t="shared" si="390"/>
        <v>0</v>
      </c>
      <c r="BL203" s="624" t="b">
        <f t="shared" si="391"/>
        <v>0</v>
      </c>
      <c r="BM203" s="624" t="b">
        <f t="shared" si="392"/>
        <v>0</v>
      </c>
      <c r="BN203" s="624" t="b">
        <f t="shared" si="393"/>
        <v>0</v>
      </c>
      <c r="BO203" s="624" t="b">
        <f t="shared" si="394"/>
        <v>0</v>
      </c>
      <c r="BP203" s="624" t="b">
        <f t="shared" si="395"/>
        <v>0</v>
      </c>
      <c r="BQ203" s="624" t="b">
        <f t="shared" si="396"/>
        <v>0</v>
      </c>
      <c r="BR203" s="624"/>
    </row>
    <row r="204" spans="1:70" ht="8.25" customHeight="1">
      <c r="A204" s="1086"/>
      <c r="B204" s="644"/>
      <c r="C204" s="644"/>
      <c r="D204" s="645"/>
      <c r="E204" s="645"/>
      <c r="F204" s="644"/>
      <c r="G204" s="644"/>
      <c r="H204" s="644"/>
      <c r="I204" s="635"/>
      <c r="J204" s="644">
        <f>IF(F204&lt;=1966,'Założenia,wskaźniki, listy'!$H$4,IF(F204&gt;1966,IF(F204&lt;=1985,'Założenia,wskaźniki, listy'!$H$5,IF(F204&gt;1985,IF(F204&lt;=1992,'Założenia,wskaźniki, listy'!$H$6,IF(F204&gt;1992,IF(F204&lt;=1996,'Założenia,wskaźniki, listy'!$H$7,IF(F204&gt;1996,IF(F204&lt;=2013,'Założenia,wskaźniki, listy'!$H$8)))))))))</f>
        <v>290</v>
      </c>
      <c r="K204" s="872"/>
      <c r="L204" s="644" t="s">
        <v>79</v>
      </c>
      <c r="M204" s="644">
        <v>1.5</v>
      </c>
      <c r="N204" s="644"/>
      <c r="O204" s="637">
        <f t="shared" si="374"/>
        <v>22.5</v>
      </c>
      <c r="P204" s="646">
        <f>IF(K204="kompletna",J204*G204*0.0036*'Założenia,wskaźniki, listy'!$P$9,IF(K204="częściowa",J204*G204*0.0036*'Założenia,wskaźniki, listy'!$P$10,IF(K204="brak",J204*G204*0.0036*'Założenia,wskaźniki, listy'!$P$11,0)))</f>
        <v>0</v>
      </c>
      <c r="Q204" s="638">
        <f>H204*'Założenia,wskaźniki, listy'!$L$15</f>
        <v>0</v>
      </c>
      <c r="R204" s="635">
        <f>IF(L204="węgiel",'Mieszkalne - baza'!M204*'Założenia,wskaźniki, listy'!$B$4,IF(L204="gaz",'Mieszkalne - baza'!M204*'Założenia,wskaźniki, listy'!$B$5,IF(L204="drewno",'Mieszkalne - baza'!M204*'Założenia,wskaźniki, listy'!$B$6,IF(L204="pelet",'Mieszkalne - baza'!M204*'Założenia,wskaźniki, listy'!$B$7,IF(L204="olej opałowy",'Mieszkalne - baza'!M204*'Założenia,wskaźniki, listy'!$B$8,IF(L204="sieć ciepłownicza",0,0))))))</f>
        <v>22.5</v>
      </c>
      <c r="S204" s="1085"/>
      <c r="T204" s="639">
        <f>IF(L204="węgiel",R204*'Założenia,wskaźniki, listy'!$C$44,IF(L204="gaz",R204*'Założenia,wskaźniki, listy'!$D$44,IF(L204="drewno",R204*'Założenia,wskaźniki, listy'!$E$44,IF(L204="pelet",R204*'Założenia,wskaźniki, listy'!$F$44,IF(L204="olej opałowy",R204*'Założenia,wskaźniki, listy'!$G$44,IF(L204="sieć ciepłownicza",0,IF(L204="prąd",0,0)))))))</f>
        <v>1.0800000000000001E-2</v>
      </c>
      <c r="U204" s="639">
        <f>IF(L204="węgiel",R204*'Założenia,wskaźniki, listy'!$C$45,IF(L204="gaz",R204*'Założenia,wskaźniki, listy'!$D$45,IF(L204="drewno",R204*'Założenia,wskaźniki, listy'!$E$45,IF(L204="pelet",R204*'Założenia,wskaźniki, listy'!$F$45,IF(L204="olej opałowy",R204*'Założenia,wskaźniki, listy'!$G$45,IF(L204="sieć ciepłownicza",0,IF(L204="prąd",0,0)))))))</f>
        <v>1.0574999999999999E-2</v>
      </c>
      <c r="V204" s="639">
        <f>IF(L204="węgiel",R204*'Założenia,wskaźniki, listy'!$C$46,IF(L204="gaz",R204*'Założenia,wskaźniki, listy'!$D$46,IF(L204="drewno",R204*'Założenia,wskaźniki, listy'!$E$46,IF(L204="pelet",R204*'Założenia,wskaźniki, listy'!$F$46,IF(L204="olej opałowy",R204*'Założenia,wskaźniki, listy'!$G$46,IF(L204="sieć ciepłownicza",R204*'Założenia,wskaźniki, listy'!$H$46,IF(L204="prąd",R204*'Założenia,wskaźniki, listy'!$I$46,0)))))))</f>
        <v>0</v>
      </c>
      <c r="W204" s="639">
        <f>IF(L204="węgiel",R204*'Założenia,wskaźniki, listy'!$C$47,IF(L204="gaz",R204*'Założenia,wskaźniki, listy'!$D$47,IF(L204="drewno",R204*'Założenia,wskaźniki, listy'!$E$47,IF(L204="pelet",R204*'Założenia,wskaźniki, listy'!$F$47,IF(L204="olej opałowy",R204*'Założenia,wskaźniki, listy'!$G$47,IF(L204="sieć ciepłownicza",0,IF(L204="prąd",0,0)))))))</f>
        <v>2.7225000000000002E-6</v>
      </c>
      <c r="X204" s="639">
        <f>IF(L204="węgiel",R204*'Założenia,wskaźniki, listy'!$C$48, IF(L204="gaz",R204*'Założenia,wskaźniki, listy'!$D$48,IF(L204="drewno",R204*'Założenia,wskaźniki, listy'!$E$48,IF(L204="pelet",R204*'Założenia,wskaźniki, listy'!$F$48,IF(L204="olej opałowy",R204*'Założenia,wskaźniki, listy'!$G$48,IF(L204="sieć ciepłownicza",0,IF(L204="prąd",0,0)))))))</f>
        <v>2.475E-4</v>
      </c>
      <c r="Y204" s="639">
        <f>IF(L204="węgiel",R204*'Założenia,wskaźniki, listy'!$C$49, IF(L204="gaz",R204*'Założenia,wskaźniki, listy'!$D$49, IF(L204="drewno",R204*'Założenia,wskaźniki, listy'!$E$49,IF(L204="pelet",R204*'Założenia,wskaźniki, listy'!$F$49,IF(L204="olej opałowy",R204*'Założenia,wskaźniki, listy'!$G$49,IF(L204="sieć ciepłownicza",0,IF(L204="prąd",0,0)))))))</f>
        <v>1.8000000000000002E-3</v>
      </c>
      <c r="Z204" s="639">
        <f>IF(L204="węgiel",R204*'Założenia,wskaźniki, listy'!$C$50,IF(L204="gaz",R204*'Założenia,wskaźniki, listy'!$D$50, IF(L204="drewno",R204*'Założenia,wskaźniki, listy'!$E$50,IF(L204="pelet",R204*'Założenia,wskaźniki, listy'!$F$50,IF(L204="pelet",R204*'Założenia,wskaźniki, listy'!$F$50,IF(L204="olej opałowy",R204*'Założenia,wskaźniki, listy'!$G$50,IF(L204="sieć ciepłownicza",0,IF(L204="prąd",0,0))))))))</f>
        <v>4.0365000000000002E-3</v>
      </c>
      <c r="AA204" s="639">
        <f>IF(N204="węgiel",Q204*'Założenia,wskaźniki, listy'!$C$44,IF(N204="gaz",Q204*'Założenia,wskaźniki, listy'!$D$44,IF(N204="drewno",Q204*'Założenia,wskaźniki, listy'!$E$44,IF(N204="pelet",Q204*'Założenia,wskaźniki, listy'!$G$44,IF(N204="olej opałowy",Q204*'Założenia,wskaźniki, listy'!$G$44,IF(N204="sieć ciepłownicza",0,IF(N204="prąd",0,0)))))))</f>
        <v>0</v>
      </c>
      <c r="AB204" s="639">
        <f>IF(N204="węgiel",Q204*'Założenia,wskaźniki, listy'!$C$45,IF(N204="gaz",Q204*'Założenia,wskaźniki, listy'!$D$45,IF(N204="drewno",Q204*'Założenia,wskaźniki, listy'!$E$45,IF(N204="pelet",Q204*'Założenia,wskaźniki, listy'!$G$45,IF(N204="olej opałowy",Q204*'Założenia,wskaźniki, listy'!$G$45,IF(N204="sieć ciepłownicza",0,IF(N204="prąd",0,0)))))))</f>
        <v>0</v>
      </c>
      <c r="AC204" s="639">
        <f>IF(N204="węgiel",Q204*'Założenia,wskaźniki, listy'!$C$46,IF(N204="gaz",Q204*'Założenia,wskaźniki, listy'!$D$46,IF(N204="drewno",Q204*'Założenia,wskaźniki, listy'!$E$46,IF(N204="pelet",Q204*'Założenia,wskaźniki, listy'!$G$46,IF(N204="olej opałowy",Q204*'Założenia,wskaźniki, listy'!$G$46,IF(N204="sieć ciepłownicza",0,IF(N204="prąd",0,0)))))))</f>
        <v>0</v>
      </c>
      <c r="AD204" s="639">
        <f>IF(N204="węgiel",Q204*'Założenia,wskaźniki, listy'!$C$47,IF(N204="gaz",Q204*'Założenia,wskaźniki, listy'!$D$47,IF(N204="drewno",Q204*'Założenia,wskaźniki, listy'!$E$47,IF(N204="pelet",Q204*'Założenia,wskaźniki, listy'!$G$47,IF(N204="olej opałowy",Q204*'Założenia,wskaźniki, listy'!$G$47,IF(N204="sieć ciepłownicza",0,IF(N204="prąd",0,0)))))))</f>
        <v>0</v>
      </c>
      <c r="AE204" s="639">
        <f>IF(N204="węgiel",Q204*'Założenia,wskaźniki, listy'!$C$48,IF(N204="gaz",Q204*'Założenia,wskaźniki, listy'!$D$48,IF(N204="drewno",Q204*'Założenia,wskaźniki, listy'!$E$48,IF(N204="pelet",Q204*'Założenia,wskaźniki, listy'!$G$48,IF(N204="olej opałowy",Q204*'Założenia,wskaźniki, listy'!$G$48,IF(N204="sieć ciepłownicza",0,IF(N204="prąd",0,0)))))))</f>
        <v>0</v>
      </c>
      <c r="AF204" s="639">
        <f>IF(N204="węgiel",Q204*'Założenia,wskaźniki, listy'!$C$49,IF(N204="gaz",Q204*'Założenia,wskaźniki, listy'!$D$49,IF(N204="drewno",Q204*'Założenia,wskaźniki, listy'!$E$49,IF(N204="pelet",Q204*'Założenia,wskaźniki, listy'!$G$49,IF(N204="olej opałowy",Q204*'Założenia,wskaźniki, listy'!$G$49,IF(N204="sieć ciepłownicza",0,IF(N204="prąd",0,0)))))))</f>
        <v>0</v>
      </c>
      <c r="AG204" s="639">
        <f>IF(N204="węgiel",Q204*'Założenia,wskaźniki, listy'!$C$50,IF(N204="gaz",Q204*'Założenia,wskaźniki, listy'!$D$50,IF(N204="drewno",Q204*'Założenia,wskaźniki, listy'!$E$50,IF(N204="pelet",Q204*'Założenia,wskaźniki, listy'!$G$50,IF(N204="olej opałowy",Q204*'Założenia,wskaźniki, listy'!$G$50,IF(N204="sieć ciepłownicza",0,IF(N204="prąd",0,0)))))))</f>
        <v>0</v>
      </c>
      <c r="AH204" s="640">
        <f>IF(L204="węgiel",(P204+R204)/2*'Założenia,wskaźniki, listy'!$C$4,IF(L204="gaz",(P204+R204)/2*'Założenia,wskaźniki, listy'!$C$5,IF(L204="drewno",(P204+R204)/2*'Założenia,wskaźniki, listy'!$C$6,IF(L204="pelet",(P204+R204)/2*'Założenia,wskaźniki, listy'!$C$7,IF(L204="olej opałowy",(P204+R204)/2*'Założenia,wskaźniki, listy'!$C$8,IF(L204="sieć ciepłownicza",(P204+R204)/2*'Założenia,wskaźniki, listy'!$C$9,IF(L204="sieć ciepłownicza",(P204+R204)/2*'Założenia,wskaźniki, listy'!$C$10,)))))))</f>
        <v>427.5</v>
      </c>
      <c r="AI204" s="640">
        <f>IF(N204="węgiel",Q204*'Założenia,wskaźniki, listy'!$C$4,IF(N204="gaz",Q204*'Założenia,wskaźniki, listy'!$C$5,IF(N204="drewno",Q204*'Założenia,wskaźniki, listy'!$C$6,IF(N204="pelet",Q204*'Założenia,wskaźniki, listy'!$C$7,IF(N204="olej opałowy",Q204*'Założenia,wskaźniki, listy'!$C$8,IF(N204="sieć ciepłownicza",Q204*'Założenia,wskaźniki, listy'!$C$9,IF(N204="sieć ciepłownicza",Q204*'Założenia,wskaźniki, listy'!$C$10,0)))))))</f>
        <v>0</v>
      </c>
      <c r="AJ204" s="640">
        <f>S204*'Założenia,wskaźniki, listy'!$B$64*1000</f>
        <v>0</v>
      </c>
      <c r="AK204" s="640">
        <f>(H204+I204)*'Założenia,wskaźniki, listy'!$D$64*12</f>
        <v>0</v>
      </c>
      <c r="AL204" s="640">
        <f>AK204*'Założenia,wskaźniki, listy'!$F$64</f>
        <v>0</v>
      </c>
      <c r="AM204" s="639">
        <f t="shared" si="347"/>
        <v>1.0800000000000001E-2</v>
      </c>
      <c r="AN204" s="639">
        <f t="shared" si="348"/>
        <v>1.0574999999999999E-2</v>
      </c>
      <c r="AO204" s="639">
        <f>V204+AC204+S204*'Założenia,wskaźniki, listy'!$J$46</f>
        <v>0</v>
      </c>
      <c r="AP204" s="639">
        <f t="shared" si="349"/>
        <v>2.7225000000000002E-6</v>
      </c>
      <c r="AQ204" s="639">
        <f t="shared" si="350"/>
        <v>2.475E-4</v>
      </c>
      <c r="AR204" s="639">
        <f t="shared" si="351"/>
        <v>1.8000000000000002E-3</v>
      </c>
      <c r="AS204" s="639">
        <f t="shared" si="352"/>
        <v>4.0365000000000002E-3</v>
      </c>
      <c r="AT204" s="647"/>
      <c r="AU204" s="647"/>
      <c r="AV204" s="624">
        <f t="shared" si="375"/>
        <v>0</v>
      </c>
      <c r="AW204" s="624" t="b">
        <f t="shared" si="376"/>
        <v>0</v>
      </c>
      <c r="AX204" s="624" t="b">
        <f t="shared" si="377"/>
        <v>0</v>
      </c>
      <c r="AY204" s="624" t="b">
        <f t="shared" si="378"/>
        <v>0</v>
      </c>
      <c r="AZ204" s="624" t="b">
        <f t="shared" si="379"/>
        <v>0</v>
      </c>
      <c r="BA204" s="624" t="b">
        <f t="shared" si="380"/>
        <v>0</v>
      </c>
      <c r="BB204" s="624" t="b">
        <f t="shared" si="381"/>
        <v>0</v>
      </c>
      <c r="BC204" s="624" t="b">
        <f t="shared" si="382"/>
        <v>0</v>
      </c>
      <c r="BD204" s="624" t="b">
        <f t="shared" si="383"/>
        <v>0</v>
      </c>
      <c r="BE204" s="624" t="b">
        <f t="shared" si="384"/>
        <v>0</v>
      </c>
      <c r="BF204" s="624" t="b">
        <f t="shared" si="385"/>
        <v>0</v>
      </c>
      <c r="BG204" s="624" t="b">
        <f t="shared" si="386"/>
        <v>0</v>
      </c>
      <c r="BH204" s="624">
        <f t="shared" si="387"/>
        <v>22.5</v>
      </c>
      <c r="BI204" s="624" t="b">
        <f t="shared" si="388"/>
        <v>0</v>
      </c>
      <c r="BJ204" s="624" t="b">
        <f t="shared" si="389"/>
        <v>0</v>
      </c>
      <c r="BK204" s="624" t="b">
        <f t="shared" si="390"/>
        <v>0</v>
      </c>
      <c r="BL204" s="624" t="b">
        <f t="shared" si="391"/>
        <v>0</v>
      </c>
      <c r="BM204" s="624" t="b">
        <f t="shared" si="392"/>
        <v>0</v>
      </c>
      <c r="BN204" s="624" t="b">
        <f t="shared" si="393"/>
        <v>0</v>
      </c>
      <c r="BO204" s="624" t="b">
        <f t="shared" si="394"/>
        <v>0</v>
      </c>
      <c r="BP204" s="624" t="b">
        <f t="shared" si="395"/>
        <v>0</v>
      </c>
      <c r="BQ204" s="624" t="b">
        <f t="shared" si="396"/>
        <v>0</v>
      </c>
    </row>
    <row r="205" spans="1:70" ht="10.199999999999999">
      <c r="D205" s="688"/>
      <c r="E205" s="688"/>
      <c r="G205" s="791">
        <f>SUM(G5:G204)</f>
        <v>12440</v>
      </c>
      <c r="H205" s="791">
        <f>SUM(H5:H204)</f>
        <v>0</v>
      </c>
      <c r="I205" s="791">
        <f>SUM(I5:I204)</f>
        <v>0</v>
      </c>
      <c r="K205" s="420"/>
      <c r="O205" s="649">
        <f>SUM(O5:O204)</f>
        <v>8378.029999999997</v>
      </c>
      <c r="P205" s="650">
        <f>SUM(P5:P204)</f>
        <v>8077.7520000000031</v>
      </c>
      <c r="Q205" s="651">
        <f>H205*'Założenia,wskaźniki, listy'!$L$15</f>
        <v>0</v>
      </c>
      <c r="R205" s="646">
        <f>SUM(R5:R204)</f>
        <v>7256.3429999999998</v>
      </c>
      <c r="S205" s="646">
        <f>SUM(S5:S204)</f>
        <v>186.57120000000003</v>
      </c>
      <c r="AC205" s="653">
        <f>IF(N205="węgiel",Q205*'Założenia,wskaźniki, listy'!$C$46,IF(N205="gaz",Q205*'Założenia,wskaźniki, listy'!$D$46,IF(N205="drewno",Q205*'Założenia,wskaźniki, listy'!$E$46,IF(N205="pelet",Q205*'Założenia,wskaźniki, listy'!$G$46,IF(N205="olej opałowy",Q205*'Założenia,wskaźniki, listy'!$G$46,IF(N205="sieć ciepłownicza",0,IF(N205="prąd",0,0)))))))</f>
        <v>0</v>
      </c>
      <c r="AV205" s="654">
        <f t="shared" ref="AV205:BQ205" si="397">SUM(AV5:AV204)</f>
        <v>2645</v>
      </c>
      <c r="AW205" s="654">
        <f t="shared" si="397"/>
        <v>1157.5</v>
      </c>
      <c r="AX205" s="654">
        <f t="shared" si="397"/>
        <v>3695</v>
      </c>
      <c r="AY205" s="654">
        <f t="shared" si="397"/>
        <v>1420</v>
      </c>
      <c r="AZ205" s="654">
        <f t="shared" si="397"/>
        <v>3010</v>
      </c>
      <c r="BA205" s="654">
        <f t="shared" si="397"/>
        <v>675</v>
      </c>
      <c r="BB205" s="654">
        <f t="shared" si="397"/>
        <v>2160</v>
      </c>
      <c r="BC205" s="654">
        <f t="shared" si="397"/>
        <v>730</v>
      </c>
      <c r="BD205" s="654">
        <f t="shared" si="397"/>
        <v>930</v>
      </c>
      <c r="BE205" s="624">
        <f t="shared" si="397"/>
        <v>0</v>
      </c>
      <c r="BF205" s="624">
        <f t="shared" si="397"/>
        <v>5568.8429999999998</v>
      </c>
      <c r="BG205" s="624">
        <f t="shared" si="397"/>
        <v>0</v>
      </c>
      <c r="BH205" s="624">
        <f t="shared" si="397"/>
        <v>1687.5</v>
      </c>
      <c r="BI205" s="624">
        <f t="shared" si="397"/>
        <v>0</v>
      </c>
      <c r="BJ205" s="624">
        <f t="shared" si="397"/>
        <v>0</v>
      </c>
      <c r="BK205" s="624">
        <f t="shared" si="397"/>
        <v>0</v>
      </c>
      <c r="BL205" s="624">
        <f t="shared" si="397"/>
        <v>0</v>
      </c>
      <c r="BM205" s="624">
        <f t="shared" si="397"/>
        <v>0</v>
      </c>
      <c r="BN205" s="624">
        <f t="shared" si="397"/>
        <v>0</v>
      </c>
      <c r="BO205" s="624">
        <f t="shared" si="397"/>
        <v>0</v>
      </c>
      <c r="BP205" s="624">
        <f t="shared" si="397"/>
        <v>0</v>
      </c>
      <c r="BQ205" s="624">
        <f t="shared" si="397"/>
        <v>0</v>
      </c>
    </row>
    <row r="206" spans="1:70" ht="11.25" customHeight="1">
      <c r="K206" s="420"/>
      <c r="N206" s="624"/>
      <c r="O206" s="655"/>
      <c r="P206" s="624"/>
      <c r="Q206" s="656"/>
      <c r="R206" s="1080" t="s">
        <v>642</v>
      </c>
      <c r="S206" s="624">
        <f>S205/100</f>
        <v>1.8657120000000003</v>
      </c>
      <c r="T206" s="657"/>
      <c r="U206" s="657"/>
      <c r="V206" s="657"/>
      <c r="W206" s="657"/>
      <c r="X206" s="657"/>
      <c r="Y206" s="657"/>
      <c r="Z206" s="624"/>
      <c r="AA206" s="624"/>
      <c r="AB206" s="624"/>
      <c r="AC206" s="658"/>
      <c r="AD206" s="624"/>
      <c r="AE206" s="624"/>
      <c r="AF206" s="624"/>
      <c r="AG206" s="624"/>
      <c r="AH206" s="624"/>
      <c r="AI206" s="624"/>
      <c r="AJ206" s="624"/>
      <c r="AK206" s="624"/>
      <c r="AL206" s="624"/>
      <c r="AN206" s="624"/>
      <c r="AO206" s="624"/>
      <c r="AP206" s="624"/>
      <c r="AQ206" s="624"/>
      <c r="AR206" s="624"/>
      <c r="AS206" s="624"/>
      <c r="AT206" s="624"/>
      <c r="AU206" s="624"/>
      <c r="AV206" s="659">
        <f>AV205/$G$205</f>
        <v>0.21262057877813506</v>
      </c>
      <c r="AW206" s="659">
        <f>AW205/AV205</f>
        <v>0.43761814744801514</v>
      </c>
      <c r="AX206" s="659">
        <f>AX205/$G$205</f>
        <v>0.29702572347266881</v>
      </c>
      <c r="AY206" s="659">
        <f>AY205/AX205</f>
        <v>0.38430311231393777</v>
      </c>
      <c r="AZ206" s="659">
        <f>AZ205/$G$205</f>
        <v>0.24196141479099678</v>
      </c>
      <c r="BA206" s="659">
        <f t="shared" ref="BA206" si="398">BA205/AZ205</f>
        <v>0.22425249169435216</v>
      </c>
      <c r="BB206" s="659">
        <f>BB205/$G$205</f>
        <v>0.17363344051446947</v>
      </c>
      <c r="BC206" s="659">
        <f t="shared" ref="BC206" si="399">BC205/BB205</f>
        <v>0.33796296296296297</v>
      </c>
      <c r="BD206" s="659">
        <f>BD205/$G$205</f>
        <v>7.4758842443729906E-2</v>
      </c>
      <c r="BE206" s="659">
        <f t="shared" ref="BE206" si="400">BE205/BD205</f>
        <v>0</v>
      </c>
    </row>
    <row r="207" spans="1:70" ht="10.199999999999999">
      <c r="A207" s="808" t="s">
        <v>536</v>
      </c>
      <c r="B207" s="808"/>
      <c r="C207" s="808"/>
      <c r="D207" s="808"/>
      <c r="E207" s="808"/>
      <c r="K207" s="420"/>
      <c r="N207" s="624"/>
      <c r="O207" s="655"/>
      <c r="P207" s="624"/>
      <c r="Q207" s="656"/>
      <c r="R207" s="1081"/>
      <c r="S207" s="624"/>
      <c r="T207" s="657"/>
      <c r="U207" s="657"/>
      <c r="V207" s="657"/>
      <c r="W207" s="657"/>
      <c r="X207" s="657"/>
      <c r="Y207" s="657"/>
      <c r="Z207" s="624"/>
      <c r="AA207" s="624"/>
      <c r="AB207" s="624"/>
      <c r="AC207" s="658"/>
      <c r="AD207" s="624"/>
      <c r="AE207" s="624"/>
      <c r="AF207" s="624"/>
      <c r="AG207" s="624"/>
      <c r="AH207" s="624"/>
      <c r="AI207" s="624"/>
      <c r="AJ207" s="624"/>
      <c r="AK207" s="624"/>
      <c r="AL207" s="624"/>
      <c r="AM207" s="624"/>
      <c r="AN207" s="624"/>
      <c r="AO207" s="624"/>
      <c r="AP207" s="624"/>
      <c r="AQ207" s="624"/>
      <c r="AR207" s="624"/>
      <c r="AS207" s="624"/>
      <c r="AT207" s="624"/>
      <c r="AU207" s="624"/>
      <c r="BD207" s="625"/>
    </row>
    <row r="208" spans="1:70" ht="10.199999999999999">
      <c r="A208" s="687" t="s">
        <v>441</v>
      </c>
      <c r="B208" s="841"/>
      <c r="C208" s="841"/>
      <c r="D208" s="686">
        <v>139201</v>
      </c>
      <c r="E208" s="878"/>
      <c r="J208" s="650"/>
      <c r="K208" s="420"/>
      <c r="N208" s="624"/>
      <c r="O208" s="655"/>
      <c r="P208" s="624"/>
      <c r="Q208" s="656"/>
      <c r="R208" s="1081"/>
      <c r="T208" s="657"/>
      <c r="U208" s="657"/>
      <c r="V208" s="657"/>
      <c r="W208" s="657"/>
      <c r="X208" s="657"/>
      <c r="Y208" s="657"/>
      <c r="Z208" s="624"/>
      <c r="AA208" s="624"/>
      <c r="AB208" s="624"/>
      <c r="AC208" s="658"/>
      <c r="AD208" s="624"/>
      <c r="AE208" s="624"/>
      <c r="AF208" s="624"/>
      <c r="AG208" s="624"/>
      <c r="AH208" s="624" t="s">
        <v>64</v>
      </c>
      <c r="AI208" s="624"/>
      <c r="AJ208" s="624"/>
      <c r="AK208" s="624"/>
      <c r="AL208" s="624"/>
      <c r="AM208" s="624"/>
      <c r="AN208" s="624"/>
      <c r="AO208" s="624"/>
      <c r="AP208" s="624"/>
      <c r="AQ208" s="624"/>
      <c r="AR208" s="624"/>
      <c r="AS208" s="624"/>
      <c r="AT208" s="624"/>
      <c r="AU208" s="624"/>
      <c r="BE208" s="656"/>
    </row>
    <row r="209" spans="1:70" ht="9.75" customHeight="1">
      <c r="A209" s="687" t="s">
        <v>442</v>
      </c>
      <c r="B209" s="842"/>
      <c r="C209" s="841"/>
      <c r="D209" s="686">
        <f>G205</f>
        <v>12440</v>
      </c>
      <c r="E209" s="878"/>
      <c r="K209" s="420"/>
      <c r="N209" s="624"/>
      <c r="O209" s="655"/>
      <c r="P209" s="624"/>
      <c r="Q209" s="656"/>
      <c r="R209" s="624"/>
      <c r="S209" s="624"/>
      <c r="T209" s="657"/>
      <c r="U209" s="657"/>
      <c r="V209" s="657"/>
      <c r="W209" s="657"/>
      <c r="X209" s="657"/>
      <c r="Y209" s="657"/>
      <c r="Z209" s="624"/>
      <c r="AA209" s="624"/>
      <c r="AB209" s="624"/>
      <c r="AC209" s="658"/>
      <c r="AD209" s="624"/>
      <c r="AE209" s="624"/>
      <c r="AF209" s="624"/>
      <c r="AG209" s="624"/>
      <c r="AH209" s="624"/>
      <c r="AI209" s="624"/>
      <c r="AJ209" s="624"/>
      <c r="AK209" s="624"/>
      <c r="AL209" s="624"/>
      <c r="AM209" s="624"/>
      <c r="AN209" s="624"/>
      <c r="AO209" s="624"/>
      <c r="AP209" s="624"/>
      <c r="AQ209" s="624"/>
      <c r="AR209" s="624"/>
      <c r="AS209" s="624"/>
      <c r="AT209" s="624"/>
      <c r="AU209" s="624"/>
      <c r="BD209" s="661"/>
    </row>
    <row r="210" spans="1:70" s="662" customFormat="1" ht="10.5" customHeight="1">
      <c r="A210" s="687" t="s">
        <v>443</v>
      </c>
      <c r="B210" s="842"/>
      <c r="C210" s="689"/>
      <c r="D210" s="686">
        <f>R205</f>
        <v>7256.3429999999998</v>
      </c>
      <c r="E210" s="878"/>
      <c r="K210" s="420"/>
      <c r="N210" s="624"/>
      <c r="O210" s="655"/>
      <c r="P210" s="624"/>
      <c r="Q210" s="656"/>
      <c r="R210" s="624"/>
      <c r="S210" s="624"/>
      <c r="T210" s="657"/>
      <c r="U210" s="657"/>
      <c r="V210" s="657"/>
      <c r="W210" s="657"/>
      <c r="X210" s="657"/>
      <c r="Y210" s="663"/>
      <c r="Z210" s="420"/>
      <c r="AA210" s="420"/>
      <c r="AB210" s="420"/>
      <c r="AC210" s="420"/>
      <c r="AD210" s="420"/>
      <c r="AE210" s="420"/>
      <c r="AF210" s="420"/>
      <c r="AG210" s="420"/>
      <c r="AH210" s="420"/>
      <c r="AI210" s="420"/>
      <c r="AJ210" s="420"/>
      <c r="AK210" s="420"/>
      <c r="AL210" s="420"/>
      <c r="AM210" s="420"/>
      <c r="AN210" s="420"/>
      <c r="AO210" s="420"/>
      <c r="AP210" s="420"/>
      <c r="AQ210" s="420"/>
      <c r="AR210" s="420"/>
      <c r="AS210" s="420"/>
      <c r="AT210" s="420"/>
      <c r="AU210" s="420"/>
      <c r="AV210" s="624"/>
      <c r="AW210" s="624"/>
      <c r="AX210" s="624"/>
      <c r="AY210" s="624"/>
      <c r="AZ210" s="624"/>
      <c r="BA210" s="624"/>
      <c r="BB210" s="624"/>
      <c r="BC210" s="624"/>
      <c r="BD210" s="624"/>
      <c r="BE210" s="624"/>
      <c r="BF210" s="624"/>
      <c r="BG210" s="624"/>
      <c r="BH210" s="624"/>
      <c r="BI210" s="624"/>
      <c r="BJ210" s="624"/>
      <c r="BK210" s="624"/>
      <c r="BL210" s="624"/>
      <c r="BM210" s="624"/>
      <c r="BN210" s="624"/>
      <c r="BO210" s="624"/>
      <c r="BP210" s="624"/>
      <c r="BQ210" s="624"/>
      <c r="BR210" s="420"/>
    </row>
    <row r="211" spans="1:70" s="662" customFormat="1" ht="10.5" customHeight="1">
      <c r="A211" s="690" t="s">
        <v>565</v>
      </c>
      <c r="B211" s="842"/>
      <c r="C211" s="689"/>
      <c r="D211" s="686">
        <f>D208*D210/D209</f>
        <v>81196.961570980711</v>
      </c>
      <c r="E211" s="878"/>
      <c r="K211" s="420"/>
      <c r="N211" s="624"/>
      <c r="O211" s="655"/>
      <c r="P211" s="624"/>
      <c r="Q211" s="656"/>
      <c r="R211" s="624"/>
      <c r="S211" s="624"/>
      <c r="T211" s="657"/>
      <c r="U211" s="657"/>
      <c r="V211" s="657"/>
      <c r="W211" s="657"/>
      <c r="X211" s="657"/>
      <c r="Y211" s="663"/>
      <c r="Z211" s="420"/>
      <c r="AA211" s="420"/>
      <c r="AB211" s="420"/>
      <c r="AC211" s="420"/>
      <c r="AD211" s="420"/>
      <c r="AE211" s="420"/>
      <c r="AF211" s="420"/>
      <c r="AG211" s="420"/>
      <c r="AH211" s="420"/>
      <c r="AI211" s="420"/>
      <c r="AJ211" s="420"/>
      <c r="AK211" s="420"/>
      <c r="AL211" s="420"/>
      <c r="AM211" s="420"/>
      <c r="AN211" s="420"/>
      <c r="AO211" s="420"/>
      <c r="AP211" s="420"/>
      <c r="AQ211" s="420"/>
      <c r="AR211" s="420"/>
      <c r="AS211" s="420"/>
      <c r="AT211" s="420"/>
      <c r="AU211" s="657"/>
      <c r="AV211" s="624"/>
      <c r="AW211" s="624"/>
      <c r="AX211" s="624"/>
      <c r="AY211" s="624"/>
      <c r="AZ211" s="624"/>
      <c r="BA211" s="624"/>
      <c r="BB211" s="624"/>
      <c r="BC211" s="624"/>
      <c r="BD211" s="624"/>
      <c r="BE211" s="624"/>
      <c r="BF211" s="624"/>
      <c r="BG211" s="624"/>
      <c r="BH211" s="624"/>
      <c r="BI211" s="624"/>
      <c r="BJ211" s="624"/>
      <c r="BK211" s="624"/>
      <c r="BL211" s="624"/>
      <c r="BM211" s="624"/>
      <c r="BN211" s="624"/>
      <c r="BO211" s="624"/>
      <c r="BP211" s="624"/>
      <c r="BQ211" s="624"/>
      <c r="BR211" s="420"/>
    </row>
    <row r="212" spans="1:70" s="662" customFormat="1" ht="10.199999999999999">
      <c r="A212" s="844" t="s">
        <v>569</v>
      </c>
      <c r="B212" s="420"/>
      <c r="C212" s="843"/>
      <c r="D212" s="624"/>
      <c r="E212" s="624"/>
      <c r="F212" s="420"/>
      <c r="G212" s="420"/>
      <c r="H212" s="420"/>
      <c r="I212" s="660"/>
      <c r="J212" s="420"/>
      <c r="K212" s="420"/>
      <c r="N212" s="624"/>
      <c r="O212" s="655"/>
      <c r="P212" s="624"/>
      <c r="Q212" s="656"/>
      <c r="R212" s="624"/>
      <c r="S212" s="624"/>
      <c r="T212" s="657"/>
      <c r="U212" s="657"/>
      <c r="V212" s="657"/>
      <c r="W212" s="657"/>
      <c r="X212" s="657"/>
      <c r="Y212" s="663"/>
      <c r="Z212" s="420"/>
      <c r="AA212" s="420"/>
      <c r="AB212" s="420"/>
      <c r="AC212" s="420"/>
      <c r="AD212" s="420"/>
      <c r="AE212" s="420"/>
      <c r="AF212" s="420"/>
      <c r="AG212" s="420"/>
      <c r="AH212" s="420"/>
      <c r="AI212" s="420"/>
      <c r="AJ212" s="420"/>
      <c r="AK212" s="420"/>
      <c r="AL212" s="420"/>
      <c r="AM212" s="420"/>
      <c r="AN212" s="420"/>
      <c r="AO212" s="420"/>
      <c r="AP212" s="420"/>
      <c r="AQ212" s="420"/>
      <c r="AR212" s="420"/>
      <c r="AS212" s="420"/>
      <c r="AT212" s="420"/>
      <c r="AU212" s="420"/>
      <c r="AV212" s="624"/>
      <c r="AW212" s="624"/>
      <c r="AX212" s="624"/>
      <c r="AY212" s="624"/>
      <c r="AZ212" s="624"/>
      <c r="BA212" s="624"/>
      <c r="BB212" s="624"/>
      <c r="BC212" s="624"/>
      <c r="BD212" s="624"/>
      <c r="BE212" s="624"/>
      <c r="BF212" s="624"/>
      <c r="BG212" s="624"/>
      <c r="BH212" s="624"/>
      <c r="BI212" s="624"/>
      <c r="BJ212" s="624"/>
      <c r="BK212" s="624"/>
      <c r="BL212" s="624"/>
      <c r="BM212" s="624"/>
      <c r="BN212" s="624"/>
      <c r="BO212" s="624"/>
      <c r="BP212" s="624"/>
      <c r="BQ212" s="624"/>
      <c r="BR212" s="420"/>
    </row>
    <row r="213" spans="1:70" s="662" customFormat="1" ht="10.199999999999999">
      <c r="A213" s="844">
        <v>4762</v>
      </c>
      <c r="B213" s="420"/>
      <c r="C213" s="843"/>
      <c r="D213" s="624"/>
      <c r="E213" s="624"/>
      <c r="F213" s="420"/>
      <c r="G213" s="420"/>
      <c r="H213" s="420"/>
      <c r="I213" s="660"/>
      <c r="J213" s="420"/>
      <c r="K213" s="420"/>
      <c r="L213" s="624"/>
      <c r="N213" s="624"/>
      <c r="O213" s="655"/>
      <c r="P213" s="624"/>
      <c r="Q213" s="656"/>
      <c r="R213" s="624"/>
      <c r="S213" s="624"/>
      <c r="T213" s="657"/>
      <c r="U213" s="657"/>
      <c r="V213" s="657"/>
      <c r="W213" s="657"/>
      <c r="X213" s="657"/>
      <c r="Y213" s="663"/>
      <c r="Z213" s="420"/>
      <c r="AA213" s="420"/>
      <c r="AB213" s="420"/>
      <c r="AC213" s="420"/>
      <c r="AD213" s="420"/>
      <c r="AE213" s="420"/>
      <c r="AF213" s="420"/>
      <c r="AG213" s="420"/>
      <c r="AH213" s="420"/>
      <c r="AI213" s="420"/>
      <c r="AJ213" s="420"/>
      <c r="AK213" s="420"/>
      <c r="AL213" s="420"/>
      <c r="AM213" s="420"/>
      <c r="AN213" s="420"/>
      <c r="AO213" s="420"/>
      <c r="AP213" s="420"/>
      <c r="AQ213" s="420"/>
      <c r="AR213" s="420"/>
      <c r="AS213" s="420"/>
      <c r="AT213" s="420"/>
      <c r="AU213" s="420"/>
      <c r="AV213" s="624"/>
      <c r="AW213" s="624"/>
      <c r="AX213" s="624"/>
      <c r="AY213" s="624"/>
      <c r="AZ213" s="624"/>
      <c r="BA213" s="624"/>
      <c r="BB213" s="624"/>
      <c r="BC213" s="624"/>
      <c r="BD213" s="624"/>
      <c r="BE213" s="624"/>
      <c r="BF213" s="624"/>
      <c r="BG213" s="624"/>
      <c r="BH213" s="624"/>
      <c r="BI213" s="624"/>
      <c r="BJ213" s="624"/>
      <c r="BK213" s="624"/>
      <c r="BL213" s="624"/>
      <c r="BM213" s="624"/>
      <c r="BN213" s="624"/>
      <c r="BO213" s="624"/>
      <c r="BP213" s="624"/>
      <c r="BQ213" s="624"/>
      <c r="BR213" s="420"/>
    </row>
    <row r="214" spans="1:70">
      <c r="A214" s="693" t="s">
        <v>438</v>
      </c>
      <c r="B214" s="685"/>
      <c r="C214" s="685"/>
      <c r="D214" s="624"/>
      <c r="E214" s="624"/>
      <c r="G214" s="624"/>
      <c r="H214" s="624"/>
      <c r="I214" s="624"/>
      <c r="J214" s="624"/>
      <c r="K214" s="624"/>
      <c r="L214" s="624"/>
      <c r="N214" s="624"/>
      <c r="O214" s="655"/>
      <c r="P214" s="624"/>
      <c r="Q214" s="656"/>
      <c r="R214" s="624"/>
      <c r="S214" s="624"/>
      <c r="T214" s="657"/>
      <c r="U214" s="657"/>
      <c r="V214" s="657"/>
      <c r="W214" s="657"/>
      <c r="X214" s="657"/>
      <c r="Y214" s="657"/>
      <c r="Z214" s="624"/>
      <c r="AA214" s="624"/>
      <c r="AB214" s="624"/>
      <c r="AC214" s="624"/>
      <c r="AD214" s="624"/>
      <c r="AE214" s="624"/>
      <c r="AF214" s="624"/>
      <c r="AG214" s="624"/>
      <c r="AH214" s="624"/>
      <c r="AI214" s="624"/>
      <c r="AJ214" s="624"/>
      <c r="AK214" s="624"/>
      <c r="AL214" s="624"/>
      <c r="AM214" s="624"/>
      <c r="AN214" s="624"/>
      <c r="AO214" s="624"/>
      <c r="AP214" s="624"/>
      <c r="AQ214" s="624"/>
      <c r="AR214" s="624"/>
      <c r="AS214" s="624"/>
      <c r="AT214" s="624"/>
      <c r="AU214" s="624"/>
    </row>
    <row r="215" spans="1:70">
      <c r="A215" s="694" t="s">
        <v>8</v>
      </c>
      <c r="B215" s="646">
        <f>BF205+BL205</f>
        <v>5568.8429999999998</v>
      </c>
      <c r="C215" s="665">
        <f t="shared" ref="C215:C221" si="401">B215/$B$222</f>
        <v>0.7674448410170247</v>
      </c>
      <c r="D215" s="624"/>
      <c r="E215" s="624"/>
      <c r="G215" s="624"/>
      <c r="H215" s="624"/>
      <c r="I215" s="624"/>
      <c r="J215" s="624"/>
      <c r="K215" s="624"/>
      <c r="N215" s="624"/>
      <c r="O215" s="655"/>
      <c r="P215" s="624"/>
      <c r="Q215" s="656"/>
      <c r="R215" s="624"/>
      <c r="S215" s="624"/>
      <c r="T215" s="657"/>
      <c r="U215" s="657"/>
      <c r="V215" s="657"/>
      <c r="W215" s="657"/>
      <c r="X215" s="657"/>
      <c r="Y215" s="657"/>
      <c r="Z215" s="624"/>
      <c r="AA215" s="624"/>
      <c r="AB215" s="624"/>
      <c r="AC215" s="624"/>
      <c r="AD215" s="624"/>
      <c r="AE215" s="624"/>
      <c r="AF215" s="624"/>
      <c r="AG215" s="624"/>
      <c r="AH215" s="624"/>
      <c r="AI215" s="624"/>
      <c r="AJ215" s="624"/>
      <c r="AK215" s="624"/>
      <c r="AL215" s="624"/>
      <c r="AM215" s="624"/>
      <c r="AN215" s="624"/>
      <c r="AO215" s="661"/>
      <c r="AP215" s="624"/>
      <c r="AQ215" s="667"/>
      <c r="AR215" s="624"/>
      <c r="AS215" s="624"/>
      <c r="AT215" s="624"/>
      <c r="AU215" s="624"/>
    </row>
    <row r="216" spans="1:70">
      <c r="A216" s="694" t="s">
        <v>116</v>
      </c>
      <c r="B216" s="646">
        <f>BG205+BM205</f>
        <v>0</v>
      </c>
      <c r="C216" s="668">
        <f t="shared" si="401"/>
        <v>0</v>
      </c>
      <c r="D216" s="624"/>
      <c r="E216" s="624"/>
      <c r="G216" s="624"/>
      <c r="H216" s="624"/>
      <c r="I216" s="624"/>
      <c r="J216" s="624"/>
      <c r="K216" s="624"/>
      <c r="N216" s="624"/>
      <c r="O216" s="655"/>
      <c r="P216" s="624"/>
      <c r="Q216" s="656"/>
      <c r="R216" s="624"/>
      <c r="S216" s="624"/>
      <c r="T216" s="657"/>
      <c r="U216" s="657"/>
      <c r="V216" s="657"/>
      <c r="W216" s="657"/>
      <c r="X216" s="657"/>
      <c r="Y216" s="657"/>
      <c r="Z216" s="624"/>
      <c r="AA216" s="624"/>
      <c r="AB216" s="624"/>
      <c r="AC216" s="624"/>
      <c r="AD216" s="624"/>
      <c r="AE216" s="624"/>
      <c r="AF216" s="624"/>
      <c r="AG216" s="624"/>
      <c r="AH216" s="624"/>
      <c r="AI216" s="624"/>
      <c r="AJ216" s="624"/>
      <c r="AK216" s="624"/>
      <c r="AL216" s="624"/>
      <c r="AM216" s="624"/>
      <c r="AN216" s="624"/>
      <c r="AO216" s="661"/>
      <c r="AP216" s="624"/>
      <c r="AQ216" s="667"/>
      <c r="AR216" s="624"/>
      <c r="AS216" s="624"/>
      <c r="AT216" s="624"/>
      <c r="AU216" s="624"/>
    </row>
    <row r="217" spans="1:70">
      <c r="A217" s="694" t="s">
        <v>79</v>
      </c>
      <c r="B217" s="646">
        <f>BH205+BN205</f>
        <v>1687.5</v>
      </c>
      <c r="C217" s="665">
        <f t="shared" si="401"/>
        <v>0.23255515898297532</v>
      </c>
      <c r="D217" s="624"/>
      <c r="E217" s="624"/>
      <c r="G217" s="624"/>
      <c r="H217" s="624"/>
      <c r="I217" s="624"/>
      <c r="J217" s="624"/>
      <c r="N217" s="624"/>
      <c r="O217" s="655"/>
      <c r="P217" s="624"/>
      <c r="Q217" s="656"/>
      <c r="R217" s="624"/>
      <c r="S217" s="624"/>
      <c r="T217" s="657"/>
      <c r="U217" s="657"/>
      <c r="V217" s="657"/>
      <c r="W217" s="657"/>
      <c r="X217" s="657"/>
      <c r="Y217" s="657"/>
      <c r="Z217" s="624"/>
      <c r="AA217" s="624"/>
      <c r="AB217" s="624"/>
      <c r="AC217" s="624"/>
      <c r="AD217" s="624"/>
      <c r="AE217" s="624"/>
      <c r="AF217" s="624"/>
      <c r="AG217" s="624"/>
      <c r="AH217" s="624"/>
      <c r="AI217" s="624"/>
      <c r="AJ217" s="624"/>
      <c r="AK217" s="624"/>
      <c r="AL217" s="624"/>
      <c r="AM217" s="624"/>
      <c r="AN217" s="624"/>
      <c r="AO217" s="661"/>
      <c r="AP217" s="624"/>
      <c r="AQ217" s="667"/>
      <c r="AR217" s="624"/>
      <c r="AS217" s="624"/>
      <c r="AT217" s="624"/>
      <c r="AU217" s="624"/>
    </row>
    <row r="218" spans="1:70">
      <c r="A218" s="694" t="s">
        <v>27</v>
      </c>
      <c r="B218" s="646">
        <f>BI205+BO205</f>
        <v>0</v>
      </c>
      <c r="C218" s="665">
        <f t="shared" si="401"/>
        <v>0</v>
      </c>
      <c r="D218" s="624"/>
      <c r="E218" s="624"/>
      <c r="G218" s="624"/>
      <c r="H218" s="624"/>
      <c r="I218" s="624"/>
      <c r="J218" s="624"/>
      <c r="N218" s="624"/>
      <c r="O218" s="666"/>
      <c r="P218" s="624"/>
      <c r="Q218" s="624"/>
      <c r="R218" s="624"/>
      <c r="S218" s="624"/>
      <c r="T218" s="657"/>
      <c r="U218" s="657"/>
      <c r="V218" s="657"/>
      <c r="W218" s="657"/>
      <c r="X218" s="657"/>
      <c r="Y218" s="657"/>
      <c r="Z218" s="624"/>
      <c r="AA218" s="624"/>
      <c r="AB218" s="624"/>
      <c r="AC218" s="624"/>
      <c r="AD218" s="624"/>
      <c r="AE218" s="624"/>
      <c r="AF218" s="624"/>
      <c r="AG218" s="624"/>
      <c r="AH218" s="624"/>
      <c r="AI218" s="624"/>
      <c r="AJ218" s="624"/>
      <c r="AK218" s="624"/>
      <c r="AL218" s="624"/>
      <c r="AM218" s="624"/>
      <c r="AN218" s="624"/>
      <c r="AO218" s="661"/>
      <c r="AP218" s="624"/>
      <c r="AQ218" s="669"/>
      <c r="AR218" s="624"/>
      <c r="AS218" s="624"/>
      <c r="AT218" s="624"/>
      <c r="AU218" s="624"/>
    </row>
    <row r="219" spans="1:70">
      <c r="A219" s="694" t="s">
        <v>117</v>
      </c>
      <c r="B219" s="646">
        <f>BJ205+BP205</f>
        <v>0</v>
      </c>
      <c r="C219" s="665">
        <f t="shared" si="401"/>
        <v>0</v>
      </c>
      <c r="D219" s="624"/>
      <c r="E219" s="624"/>
      <c r="G219" s="624"/>
      <c r="N219" s="624"/>
      <c r="O219" s="666"/>
      <c r="P219" s="624"/>
      <c r="Q219" s="624"/>
      <c r="R219" s="624"/>
      <c r="S219" s="624"/>
      <c r="T219" s="657"/>
      <c r="U219" s="657"/>
      <c r="V219" s="657"/>
      <c r="W219" s="657"/>
      <c r="X219" s="657"/>
      <c r="Y219" s="657"/>
      <c r="Z219" s="624"/>
      <c r="AA219" s="624"/>
      <c r="AB219" s="624"/>
      <c r="AC219" s="624"/>
      <c r="AD219" s="624"/>
      <c r="AE219" s="624"/>
      <c r="AF219" s="624"/>
      <c r="AG219" s="624"/>
      <c r="AH219" s="624"/>
      <c r="AI219" s="624"/>
      <c r="AJ219" s="624"/>
      <c r="AK219" s="624"/>
      <c r="AL219" s="624"/>
      <c r="AM219" s="624"/>
      <c r="AN219" s="624"/>
      <c r="AO219" s="661"/>
      <c r="AP219" s="624"/>
      <c r="AQ219" s="669"/>
      <c r="AR219" s="624"/>
      <c r="AS219" s="624"/>
      <c r="AT219" s="624"/>
      <c r="AU219" s="624"/>
    </row>
    <row r="220" spans="1:70">
      <c r="A220" s="695" t="s">
        <v>313</v>
      </c>
      <c r="B220" s="646">
        <f>BK205+BQ205</f>
        <v>0</v>
      </c>
      <c r="C220" s="665">
        <f t="shared" si="401"/>
        <v>0</v>
      </c>
      <c r="D220" s="624"/>
      <c r="E220" s="624"/>
      <c r="G220" s="624"/>
      <c r="N220" s="624"/>
      <c r="O220" s="666"/>
      <c r="P220" s="671"/>
      <c r="Q220" s="656"/>
      <c r="R220" s="669"/>
      <c r="S220" s="624"/>
      <c r="T220" s="657"/>
      <c r="U220" s="657"/>
      <c r="V220" s="657"/>
      <c r="W220" s="657"/>
      <c r="X220" s="657"/>
      <c r="Y220" s="657"/>
      <c r="Z220" s="624"/>
      <c r="AA220" s="624"/>
      <c r="AB220" s="624"/>
      <c r="AC220" s="624"/>
      <c r="AD220" s="624"/>
      <c r="AE220" s="624"/>
      <c r="AF220" s="624"/>
      <c r="AG220" s="624"/>
      <c r="AH220" s="624"/>
      <c r="AI220" s="624"/>
      <c r="AJ220" s="624"/>
      <c r="AK220" s="624"/>
      <c r="AL220" s="624"/>
      <c r="AM220" s="624"/>
      <c r="AN220" s="624"/>
      <c r="AO220" s="624"/>
      <c r="AP220" s="624"/>
      <c r="AQ220" s="669"/>
      <c r="AR220" s="624"/>
      <c r="AS220" s="624"/>
      <c r="AT220" s="624"/>
      <c r="AU220" s="624"/>
    </row>
    <row r="221" spans="1:70">
      <c r="A221" s="694" t="s">
        <v>279</v>
      </c>
      <c r="B221" s="646">
        <v>0</v>
      </c>
      <c r="C221" s="665">
        <f t="shared" si="401"/>
        <v>0</v>
      </c>
      <c r="D221" s="624"/>
      <c r="E221" s="624"/>
      <c r="G221" s="624"/>
      <c r="N221" s="624"/>
      <c r="O221" s="666"/>
      <c r="P221" s="624"/>
      <c r="Q221" s="656"/>
      <c r="R221" s="669"/>
      <c r="S221" s="624"/>
      <c r="T221" s="657"/>
      <c r="U221" s="657"/>
      <c r="V221" s="657"/>
      <c r="W221" s="657"/>
      <c r="X221" s="657"/>
      <c r="Y221" s="657"/>
      <c r="Z221" s="624"/>
      <c r="AA221" s="624"/>
      <c r="AB221" s="624"/>
      <c r="AC221" s="624"/>
      <c r="AD221" s="624"/>
      <c r="AE221" s="624"/>
      <c r="AF221" s="624"/>
      <c r="AG221" s="624"/>
      <c r="AH221" s="624"/>
      <c r="AI221" s="624"/>
      <c r="AJ221" s="624"/>
      <c r="AK221" s="624"/>
      <c r="AL221" s="624"/>
      <c r="AM221" s="624"/>
      <c r="AN221" s="624"/>
      <c r="AO221" s="624"/>
      <c r="AP221" s="624"/>
      <c r="AQ221" s="624"/>
      <c r="AR221" s="624"/>
      <c r="AS221" s="624"/>
      <c r="AT221" s="624"/>
      <c r="AU221" s="624"/>
    </row>
    <row r="222" spans="1:70">
      <c r="A222" s="695" t="s">
        <v>119</v>
      </c>
      <c r="B222" s="646">
        <f>SUM(B215:B221)</f>
        <v>7256.3429999999998</v>
      </c>
      <c r="C222" s="665">
        <f>SUM(C215:C221)</f>
        <v>1</v>
      </c>
      <c r="D222" s="624"/>
      <c r="E222" s="624"/>
      <c r="G222" s="624"/>
      <c r="N222" s="624"/>
      <c r="O222" s="666"/>
      <c r="P222" s="671"/>
      <c r="Q222" s="656"/>
      <c r="R222" s="661"/>
      <c r="S222" s="670"/>
      <c r="T222" s="657"/>
      <c r="U222" s="657"/>
      <c r="V222" s="657"/>
      <c r="W222" s="657"/>
      <c r="X222" s="657"/>
      <c r="Y222" s="657"/>
      <c r="Z222" s="624"/>
      <c r="AA222" s="624"/>
      <c r="AB222" s="624"/>
      <c r="AC222" s="624"/>
      <c r="AD222" s="624"/>
      <c r="AE222" s="624"/>
      <c r="AF222" s="624"/>
      <c r="AG222" s="624"/>
      <c r="AH222" s="624"/>
      <c r="AI222" s="624"/>
      <c r="AJ222" s="624"/>
      <c r="AK222" s="624"/>
      <c r="AL222" s="624"/>
      <c r="AM222" s="624"/>
      <c r="AN222" s="624"/>
      <c r="AO222" s="624"/>
      <c r="AP222" s="624"/>
      <c r="AQ222" s="624"/>
      <c r="AR222" s="624"/>
      <c r="AS222" s="624"/>
      <c r="AT222" s="624"/>
      <c r="AU222" s="624"/>
    </row>
    <row r="223" spans="1:70">
      <c r="A223" s="692" t="s">
        <v>439</v>
      </c>
      <c r="B223" s="685"/>
      <c r="C223" s="685"/>
      <c r="D223" s="624"/>
      <c r="E223" s="624"/>
      <c r="G223" s="624"/>
      <c r="N223" s="624"/>
      <c r="O223" s="655"/>
      <c r="P223" s="624"/>
      <c r="Q223" s="656"/>
      <c r="R223" s="624"/>
      <c r="S223" s="624"/>
      <c r="T223" s="657"/>
      <c r="U223" s="657"/>
      <c r="V223" s="657"/>
      <c r="W223" s="657"/>
      <c r="X223" s="657"/>
      <c r="Y223" s="657"/>
      <c r="Z223" s="624"/>
      <c r="AA223" s="624"/>
      <c r="AB223" s="624"/>
      <c r="AC223" s="624"/>
      <c r="AD223" s="624"/>
      <c r="AE223" s="624"/>
      <c r="AF223" s="624"/>
      <c r="AG223" s="624"/>
      <c r="AH223" s="624"/>
      <c r="AI223" s="624"/>
      <c r="AJ223" s="624"/>
      <c r="AK223" s="624"/>
      <c r="AL223" s="624"/>
      <c r="AM223" s="624"/>
      <c r="AN223" s="624"/>
      <c r="AO223" s="624"/>
      <c r="AP223" s="624"/>
      <c r="AQ223" s="624"/>
      <c r="AR223" s="624"/>
      <c r="AS223" s="624"/>
      <c r="AT223" s="624"/>
      <c r="AU223" s="624"/>
    </row>
    <row r="224" spans="1:70">
      <c r="A224" s="690" t="s">
        <v>8</v>
      </c>
      <c r="B224" s="644">
        <f t="shared" ref="B224:B231" si="402">SUMIFS($R$5:$R$204,$L$5:$L$204,A224)</f>
        <v>5568.8429999999998</v>
      </c>
      <c r="C224" s="672">
        <f t="shared" ref="C224:C231" si="403">B224/$B$232</f>
        <v>0.7674448410170247</v>
      </c>
      <c r="D224" s="624"/>
      <c r="E224" s="624"/>
      <c r="G224" s="624"/>
      <c r="N224" s="673"/>
      <c r="O224" s="674"/>
      <c r="P224" s="675"/>
      <c r="Q224" s="656"/>
      <c r="R224" s="675"/>
      <c r="S224" s="676"/>
      <c r="T224" s="657"/>
      <c r="U224" s="657"/>
      <c r="V224" s="657"/>
      <c r="W224" s="657"/>
      <c r="X224" s="657"/>
      <c r="Y224" s="657"/>
      <c r="Z224" s="624"/>
      <c r="AA224" s="624"/>
      <c r="AB224" s="624"/>
      <c r="AC224" s="624"/>
      <c r="AD224" s="624"/>
      <c r="AE224" s="624"/>
      <c r="AF224" s="624"/>
      <c r="AG224" s="624"/>
      <c r="AH224" s="624"/>
      <c r="AI224" s="624"/>
      <c r="AJ224" s="624"/>
      <c r="AK224" s="624"/>
      <c r="AL224" s="624"/>
      <c r="AM224" s="624"/>
      <c r="AN224" s="659"/>
      <c r="AO224" s="624"/>
      <c r="AP224" s="624"/>
      <c r="AQ224" s="664"/>
      <c r="AR224" s="624"/>
      <c r="AS224" s="624"/>
      <c r="AT224" s="624"/>
      <c r="AU224" s="624"/>
    </row>
    <row r="225" spans="1:70">
      <c r="A225" s="690" t="s">
        <v>26</v>
      </c>
      <c r="B225" s="644">
        <f t="shared" si="402"/>
        <v>0</v>
      </c>
      <c r="C225" s="672">
        <f t="shared" si="403"/>
        <v>0</v>
      </c>
      <c r="D225" s="624"/>
      <c r="E225" s="624"/>
      <c r="G225" s="624"/>
      <c r="N225" s="659"/>
      <c r="O225" s="674"/>
      <c r="P225" s="675"/>
      <c r="Q225" s="656"/>
      <c r="R225" s="675"/>
      <c r="S225" s="661"/>
      <c r="T225" s="624"/>
      <c r="U225" s="624"/>
      <c r="V225" s="624"/>
      <c r="W225" s="624"/>
      <c r="X225" s="624"/>
      <c r="Y225" s="624"/>
      <c r="Z225" s="624"/>
      <c r="AA225" s="624"/>
      <c r="AB225" s="624"/>
      <c r="AC225" s="624"/>
      <c r="AD225" s="624"/>
      <c r="AE225" s="624"/>
      <c r="AF225" s="624"/>
      <c r="AG225" s="624"/>
      <c r="AH225" s="624"/>
      <c r="AI225" s="624"/>
      <c r="AJ225" s="624"/>
      <c r="AK225" s="624"/>
      <c r="AL225" s="624"/>
      <c r="AM225" s="624"/>
      <c r="AN225" s="659"/>
      <c r="AO225" s="624"/>
      <c r="AP225" s="624"/>
      <c r="AQ225" s="664"/>
      <c r="AR225" s="624"/>
      <c r="AS225" s="624"/>
      <c r="AT225" s="624"/>
      <c r="AU225" s="624"/>
    </row>
    <row r="226" spans="1:70">
      <c r="A226" s="696" t="s">
        <v>79</v>
      </c>
      <c r="B226" s="644">
        <f t="shared" si="402"/>
        <v>1687.5</v>
      </c>
      <c r="C226" s="672">
        <f t="shared" si="403"/>
        <v>0.23255515898297532</v>
      </c>
      <c r="D226" s="624"/>
      <c r="E226" s="624"/>
      <c r="G226" s="624"/>
      <c r="N226" s="659"/>
      <c r="O226" s="677"/>
      <c r="P226" s="675"/>
      <c r="Q226" s="656"/>
      <c r="R226" s="675"/>
      <c r="S226" s="661"/>
      <c r="T226" s="657"/>
      <c r="U226" s="657"/>
      <c r="V226" s="657"/>
      <c r="W226" s="657"/>
      <c r="X226" s="657"/>
      <c r="Y226" s="657"/>
      <c r="Z226" s="624"/>
      <c r="AA226" s="624"/>
      <c r="AB226" s="624"/>
      <c r="AC226" s="624"/>
      <c r="AD226" s="624"/>
      <c r="AE226" s="624"/>
      <c r="AF226" s="624"/>
      <c r="AG226" s="624"/>
      <c r="AH226" s="624"/>
      <c r="AI226" s="624"/>
      <c r="AJ226" s="624"/>
      <c r="AK226" s="624"/>
      <c r="AL226" s="624"/>
      <c r="AM226" s="624"/>
      <c r="AN226" s="659"/>
      <c r="AO226" s="624"/>
      <c r="AP226" s="624"/>
      <c r="AQ226" s="624"/>
      <c r="AR226" s="624"/>
      <c r="AS226" s="624"/>
      <c r="AT226" s="624"/>
      <c r="AU226" s="624"/>
    </row>
    <row r="227" spans="1:70">
      <c r="A227" s="696" t="s">
        <v>27</v>
      </c>
      <c r="B227" s="644">
        <f t="shared" si="402"/>
        <v>0</v>
      </c>
      <c r="C227" s="672">
        <f t="shared" si="403"/>
        <v>0</v>
      </c>
      <c r="D227" s="624"/>
      <c r="E227" s="624"/>
      <c r="G227" s="624"/>
      <c r="N227" s="659"/>
      <c r="O227" s="677"/>
      <c r="P227" s="675"/>
      <c r="Q227" s="656"/>
      <c r="R227" s="675"/>
      <c r="S227" s="624"/>
      <c r="T227" s="657"/>
      <c r="U227" s="657"/>
      <c r="V227" s="657"/>
      <c r="W227" s="657"/>
      <c r="X227" s="657"/>
      <c r="Y227" s="657"/>
      <c r="Z227" s="624"/>
      <c r="AA227" s="624"/>
      <c r="AB227" s="624"/>
      <c r="AC227" s="624"/>
      <c r="AD227" s="624"/>
      <c r="AE227" s="624"/>
      <c r="AF227" s="624"/>
      <c r="AG227" s="624"/>
      <c r="AH227" s="624"/>
      <c r="AI227" s="624"/>
      <c r="AJ227" s="624"/>
      <c r="AK227" s="624"/>
      <c r="AL227" s="624"/>
      <c r="AM227" s="624"/>
      <c r="AN227" s="659"/>
      <c r="AO227" s="624"/>
      <c r="AP227" s="624"/>
      <c r="AQ227" s="664"/>
      <c r="AR227" s="624"/>
      <c r="AS227" s="624"/>
      <c r="AT227" s="624"/>
      <c r="AU227" s="624"/>
    </row>
    <row r="228" spans="1:70">
      <c r="A228" s="690" t="s">
        <v>7</v>
      </c>
      <c r="B228" s="644">
        <f t="shared" si="402"/>
        <v>0</v>
      </c>
      <c r="C228" s="672">
        <f t="shared" si="403"/>
        <v>0</v>
      </c>
      <c r="D228" s="624"/>
      <c r="E228" s="624"/>
      <c r="G228" s="624"/>
      <c r="N228" s="659"/>
      <c r="O228" s="677"/>
      <c r="P228" s="675"/>
      <c r="Q228" s="656"/>
      <c r="R228" s="675"/>
      <c r="S228" s="624"/>
      <c r="T228" s="657"/>
      <c r="U228" s="657"/>
      <c r="V228" s="657"/>
      <c r="W228" s="657"/>
      <c r="X228" s="657"/>
      <c r="Y228" s="657"/>
      <c r="Z228" s="624"/>
      <c r="AA228" s="624"/>
      <c r="AB228" s="624"/>
      <c r="AC228" s="624"/>
      <c r="AD228" s="624"/>
      <c r="AE228" s="624"/>
      <c r="AF228" s="624"/>
      <c r="AG228" s="624"/>
      <c r="AH228" s="624"/>
      <c r="AI228" s="624"/>
      <c r="AJ228" s="624"/>
      <c r="AK228" s="624"/>
      <c r="AL228" s="624"/>
      <c r="AM228" s="624"/>
      <c r="AN228" s="659"/>
      <c r="AO228" s="624"/>
      <c r="AP228" s="624"/>
      <c r="AQ228" s="624"/>
      <c r="AR228" s="624"/>
      <c r="AS228" s="624"/>
      <c r="AT228" s="624"/>
      <c r="AU228" s="624"/>
    </row>
    <row r="229" spans="1:70">
      <c r="A229" s="690" t="s">
        <v>313</v>
      </c>
      <c r="B229" s="644">
        <f t="shared" si="402"/>
        <v>0</v>
      </c>
      <c r="C229" s="672">
        <f t="shared" si="403"/>
        <v>0</v>
      </c>
      <c r="D229" s="624"/>
      <c r="E229" s="624"/>
      <c r="G229" s="624"/>
      <c r="K229" s="678"/>
      <c r="N229" s="659"/>
      <c r="O229" s="674"/>
      <c r="P229" s="675"/>
      <c r="Q229" s="656"/>
      <c r="R229" s="675"/>
      <c r="S229" s="676"/>
      <c r="T229" s="657"/>
      <c r="U229" s="657"/>
      <c r="V229" s="657"/>
      <c r="W229" s="657"/>
      <c r="X229" s="657"/>
      <c r="Y229" s="657"/>
      <c r="Z229" s="624"/>
      <c r="AA229" s="624"/>
      <c r="AB229" s="624"/>
      <c r="AC229" s="624"/>
      <c r="AD229" s="624"/>
      <c r="AE229" s="624"/>
      <c r="AF229" s="624"/>
      <c r="AG229" s="624"/>
      <c r="AH229" s="624"/>
      <c r="AI229" s="624"/>
      <c r="AJ229" s="624"/>
      <c r="AK229" s="624"/>
      <c r="AL229" s="624"/>
      <c r="AM229" s="624"/>
      <c r="AN229" s="659"/>
      <c r="AO229" s="624"/>
      <c r="AP229" s="624"/>
      <c r="AQ229" s="664"/>
      <c r="AR229" s="624"/>
      <c r="AS229" s="624"/>
      <c r="AT229" s="624"/>
      <c r="AU229" s="624"/>
    </row>
    <row r="230" spans="1:70">
      <c r="A230" s="696" t="s">
        <v>444</v>
      </c>
      <c r="B230" s="644">
        <f t="shared" si="402"/>
        <v>0</v>
      </c>
      <c r="C230" s="672">
        <f t="shared" si="403"/>
        <v>0</v>
      </c>
      <c r="D230" s="624"/>
      <c r="E230" s="624"/>
      <c r="G230" s="624"/>
      <c r="N230" s="659"/>
      <c r="O230" s="674"/>
      <c r="P230" s="675"/>
      <c r="Q230" s="656"/>
      <c r="R230" s="675"/>
      <c r="S230" s="661"/>
      <c r="T230" s="657"/>
      <c r="U230" s="657"/>
      <c r="V230" s="657"/>
      <c r="W230" s="657"/>
      <c r="X230" s="657"/>
      <c r="Y230" s="657"/>
      <c r="Z230" s="624"/>
      <c r="AA230" s="624"/>
      <c r="AB230" s="624"/>
      <c r="AC230" s="624"/>
      <c r="AD230" s="624"/>
      <c r="AE230" s="624"/>
      <c r="AF230" s="624"/>
      <c r="AG230" s="624"/>
      <c r="AH230" s="624"/>
      <c r="AI230" s="624"/>
      <c r="AJ230" s="624"/>
      <c r="AK230" s="624"/>
      <c r="AL230" s="624"/>
      <c r="AM230" s="624"/>
      <c r="AN230" s="659"/>
      <c r="AO230" s="624"/>
      <c r="AP230" s="624"/>
      <c r="AQ230" s="664"/>
      <c r="AR230" s="624"/>
      <c r="AS230" s="624"/>
      <c r="AT230" s="624"/>
      <c r="AU230" s="624"/>
    </row>
    <row r="231" spans="1:70">
      <c r="A231" s="690" t="s">
        <v>2</v>
      </c>
      <c r="B231" s="644">
        <f t="shared" si="402"/>
        <v>0</v>
      </c>
      <c r="C231" s="672">
        <f t="shared" si="403"/>
        <v>0</v>
      </c>
      <c r="D231" s="624"/>
      <c r="E231" s="624"/>
      <c r="G231" s="624"/>
      <c r="N231" s="659"/>
      <c r="O231" s="677"/>
      <c r="P231" s="675"/>
      <c r="Q231" s="656"/>
      <c r="R231" s="675"/>
      <c r="S231" s="661"/>
      <c r="T231" s="657"/>
      <c r="U231" s="657"/>
      <c r="V231" s="657"/>
      <c r="W231" s="657"/>
      <c r="X231" s="657"/>
      <c r="Y231" s="657"/>
      <c r="Z231" s="624"/>
      <c r="AA231" s="624"/>
      <c r="AB231" s="624"/>
      <c r="AC231" s="624"/>
      <c r="AD231" s="624"/>
      <c r="AE231" s="624"/>
      <c r="AF231" s="624"/>
      <c r="AG231" s="624"/>
      <c r="AH231" s="624"/>
      <c r="AI231" s="624"/>
      <c r="AJ231" s="624"/>
      <c r="AK231" s="624"/>
      <c r="AL231" s="624"/>
      <c r="AM231" s="624"/>
      <c r="AN231" s="659"/>
      <c r="AO231" s="624"/>
      <c r="AP231" s="624"/>
      <c r="AQ231" s="624"/>
      <c r="AR231" s="624"/>
      <c r="AS231" s="624"/>
      <c r="AT231" s="624"/>
      <c r="AU231" s="624"/>
    </row>
    <row r="232" spans="1:70">
      <c r="A232" s="690" t="s">
        <v>119</v>
      </c>
      <c r="B232" s="644">
        <f>SUM(B224:B231)</f>
        <v>7256.3429999999998</v>
      </c>
      <c r="C232" s="668">
        <f>SUM(C224:C231)</f>
        <v>1</v>
      </c>
      <c r="D232" s="625"/>
      <c r="E232" s="625"/>
      <c r="G232" s="624"/>
      <c r="N232" s="667"/>
      <c r="O232" s="655"/>
      <c r="P232" s="675"/>
      <c r="Q232" s="656"/>
      <c r="R232" s="675"/>
      <c r="S232" s="676"/>
      <c r="T232" s="657"/>
      <c r="U232" s="657"/>
      <c r="V232" s="657"/>
      <c r="W232" s="657"/>
      <c r="X232" s="657"/>
      <c r="Y232" s="657"/>
      <c r="Z232" s="624"/>
      <c r="AA232" s="624"/>
      <c r="AB232" s="624"/>
      <c r="AC232" s="624"/>
      <c r="AD232" s="624"/>
      <c r="AE232" s="624"/>
      <c r="AF232" s="624"/>
      <c r="AG232" s="624"/>
      <c r="AH232" s="624"/>
      <c r="AI232" s="624"/>
      <c r="AJ232" s="624"/>
      <c r="AK232" s="624"/>
      <c r="AL232" s="624"/>
      <c r="AM232" s="624"/>
      <c r="AN232" s="675"/>
      <c r="AO232" s="624"/>
      <c r="AP232" s="624"/>
      <c r="AQ232" s="624"/>
      <c r="AR232" s="624"/>
      <c r="AS232" s="624"/>
      <c r="AT232" s="624"/>
      <c r="AU232" s="624"/>
    </row>
    <row r="233" spans="1:70" s="650" customFormat="1">
      <c r="G233" s="656"/>
      <c r="N233" s="656"/>
      <c r="O233" s="656"/>
      <c r="P233" s="656"/>
      <c r="Q233" s="656"/>
      <c r="R233" s="656"/>
      <c r="S233" s="656"/>
      <c r="T233" s="679"/>
      <c r="U233" s="679"/>
      <c r="V233" s="679"/>
      <c r="W233" s="679"/>
      <c r="X233" s="679"/>
      <c r="Y233" s="679"/>
      <c r="Z233" s="656"/>
      <c r="AA233" s="656"/>
      <c r="AB233" s="656"/>
      <c r="AC233" s="656"/>
      <c r="AD233" s="656"/>
      <c r="AE233" s="656"/>
      <c r="AF233" s="656"/>
      <c r="AG233" s="656"/>
      <c r="AH233" s="656"/>
      <c r="AI233" s="656"/>
      <c r="AJ233" s="656"/>
      <c r="AK233" s="656"/>
      <c r="AL233" s="656"/>
      <c r="AM233" s="656"/>
      <c r="AN233" s="656"/>
      <c r="AO233" s="656"/>
      <c r="AP233" s="656"/>
      <c r="AQ233" s="656"/>
      <c r="AR233" s="656"/>
      <c r="AS233" s="656"/>
      <c r="AT233" s="656"/>
      <c r="AU233" s="656"/>
      <c r="AV233" s="656"/>
      <c r="AW233" s="656"/>
      <c r="AX233" s="656"/>
      <c r="AY233" s="656"/>
      <c r="AZ233" s="656"/>
      <c r="BA233" s="656"/>
      <c r="BB233" s="656"/>
      <c r="BC233" s="656"/>
      <c r="BD233" s="656"/>
      <c r="BE233" s="656"/>
      <c r="BF233" s="656"/>
      <c r="BG233" s="656"/>
      <c r="BH233" s="656"/>
      <c r="BI233" s="656"/>
      <c r="BJ233" s="656"/>
      <c r="BK233" s="656"/>
      <c r="BL233" s="656"/>
      <c r="BM233" s="656"/>
      <c r="BN233" s="656"/>
      <c r="BO233" s="656"/>
      <c r="BP233" s="656"/>
      <c r="BQ233" s="656"/>
      <c r="BR233" s="656"/>
    </row>
    <row r="234" spans="1:70" s="650" customFormat="1">
      <c r="A234" s="699" t="s">
        <v>436</v>
      </c>
      <c r="B234" s="691"/>
      <c r="C234" s="691"/>
      <c r="D234" s="680" t="s">
        <v>437</v>
      </c>
      <c r="E234" s="879"/>
      <c r="N234" s="656"/>
      <c r="O234" s="656"/>
      <c r="P234" s="656"/>
      <c r="Q234" s="656"/>
      <c r="R234" s="656"/>
      <c r="S234" s="656"/>
      <c r="T234" s="679"/>
      <c r="U234" s="679"/>
      <c r="V234" s="679"/>
      <c r="W234" s="679"/>
      <c r="X234" s="679"/>
      <c r="Y234" s="679"/>
      <c r="Z234" s="656"/>
      <c r="AA234" s="656"/>
      <c r="AB234" s="656"/>
      <c r="AC234" s="656"/>
      <c r="AD234" s="656"/>
      <c r="AE234" s="656"/>
      <c r="AF234" s="656"/>
      <c r="AG234" s="656"/>
      <c r="AH234" s="656"/>
      <c r="AI234" s="656"/>
      <c r="AJ234" s="656"/>
      <c r="AK234" s="656"/>
      <c r="AL234" s="656"/>
      <c r="AM234" s="656"/>
      <c r="AN234" s="656"/>
      <c r="AO234" s="656"/>
      <c r="AP234" s="656"/>
      <c r="AQ234" s="656"/>
      <c r="AR234" s="656"/>
      <c r="AS234" s="656"/>
      <c r="AT234" s="656"/>
      <c r="AU234" s="656"/>
      <c r="AV234" s="656"/>
      <c r="AW234" s="656"/>
      <c r="AX234" s="656"/>
      <c r="AY234" s="656"/>
      <c r="AZ234" s="656"/>
      <c r="BA234" s="656"/>
      <c r="BB234" s="656"/>
      <c r="BC234" s="656"/>
      <c r="BD234" s="656"/>
      <c r="BE234" s="656"/>
      <c r="BF234" s="656"/>
      <c r="BG234" s="656"/>
      <c r="BH234" s="656"/>
      <c r="BI234" s="656"/>
      <c r="BJ234" s="656"/>
      <c r="BK234" s="656"/>
      <c r="BL234" s="656"/>
      <c r="BM234" s="656"/>
      <c r="BN234" s="656"/>
      <c r="BO234" s="656"/>
      <c r="BP234" s="656"/>
      <c r="BQ234" s="656"/>
      <c r="BR234" s="656"/>
    </row>
    <row r="235" spans="1:70" s="650" customFormat="1">
      <c r="A235" s="697" t="s">
        <v>8</v>
      </c>
      <c r="B235" s="646">
        <f>SUMIFS($R$5:$R$204,$L$5:$L$204,A235)</f>
        <v>5568.8429999999998</v>
      </c>
      <c r="C235" s="672">
        <f t="shared" ref="C235:C242" si="404">B235/$B$243</f>
        <v>0.7674448410170247</v>
      </c>
      <c r="D235" s="646">
        <f t="shared" ref="D235:D242" si="405">C235*$D$211</f>
        <v>62314.189263906759</v>
      </c>
      <c r="E235" s="656"/>
      <c r="N235" s="656"/>
      <c r="O235" s="656"/>
      <c r="P235" s="656"/>
      <c r="Q235" s="656"/>
      <c r="R235" s="656"/>
      <c r="S235" s="656"/>
      <c r="T235" s="679"/>
      <c r="U235" s="679"/>
      <c r="V235" s="679"/>
      <c r="W235" s="679"/>
      <c r="X235" s="679"/>
      <c r="Y235" s="679"/>
      <c r="Z235" s="656"/>
      <c r="AA235" s="656"/>
      <c r="AB235" s="656"/>
      <c r="AC235" s="656"/>
      <c r="AD235" s="656"/>
      <c r="AE235" s="656"/>
      <c r="AF235" s="656"/>
      <c r="AG235" s="656"/>
      <c r="AH235" s="656"/>
      <c r="AI235" s="656"/>
      <c r="AJ235" s="656"/>
      <c r="AK235" s="656"/>
      <c r="AL235" s="656"/>
      <c r="AM235" s="656"/>
      <c r="AN235" s="656"/>
      <c r="AO235" s="656"/>
      <c r="AP235" s="656"/>
      <c r="AQ235" s="656"/>
      <c r="AR235" s="656"/>
      <c r="AS235" s="656"/>
      <c r="AT235" s="656"/>
      <c r="AU235" s="656"/>
      <c r="AV235" s="656"/>
      <c r="AW235" s="656"/>
      <c r="AX235" s="656"/>
      <c r="AY235" s="656"/>
      <c r="AZ235" s="656"/>
      <c r="BA235" s="656"/>
      <c r="BB235" s="656"/>
      <c r="BC235" s="656"/>
      <c r="BD235" s="656"/>
      <c r="BE235" s="656"/>
      <c r="BF235" s="656"/>
      <c r="BG235" s="656"/>
      <c r="BH235" s="656"/>
      <c r="BI235" s="656"/>
      <c r="BJ235" s="656"/>
      <c r="BK235" s="656"/>
      <c r="BL235" s="656"/>
      <c r="BM235" s="656"/>
      <c r="BN235" s="656"/>
      <c r="BO235" s="656"/>
      <c r="BP235" s="656"/>
      <c r="BQ235" s="656"/>
      <c r="BR235" s="656"/>
    </row>
    <row r="236" spans="1:70" s="650" customFormat="1">
      <c r="A236" s="697" t="s">
        <v>26</v>
      </c>
      <c r="B236" s="646">
        <f>B225</f>
        <v>0</v>
      </c>
      <c r="C236" s="672">
        <f t="shared" si="404"/>
        <v>0</v>
      </c>
      <c r="D236" s="646">
        <f t="shared" si="405"/>
        <v>0</v>
      </c>
      <c r="E236" s="656"/>
      <c r="N236" s="656"/>
      <c r="O236" s="656"/>
      <c r="P236" s="656"/>
      <c r="Q236" s="656"/>
      <c r="R236" s="656"/>
      <c r="S236" s="656"/>
      <c r="T236" s="679"/>
      <c r="U236" s="679"/>
      <c r="V236" s="679"/>
      <c r="W236" s="679"/>
      <c r="X236" s="679"/>
      <c r="Y236" s="679"/>
      <c r="Z236" s="656"/>
      <c r="AA236" s="656"/>
      <c r="AB236" s="656"/>
      <c r="AC236" s="656"/>
      <c r="AD236" s="656"/>
      <c r="AE236" s="656"/>
      <c r="AF236" s="656"/>
      <c r="AG236" s="656"/>
      <c r="AH236" s="656"/>
      <c r="AI236" s="656"/>
      <c r="AJ236" s="656"/>
      <c r="AK236" s="656"/>
      <c r="AL236" s="656"/>
      <c r="AM236" s="656"/>
      <c r="AN236" s="656"/>
      <c r="AO236" s="656"/>
      <c r="AP236" s="656"/>
      <c r="AQ236" s="656"/>
      <c r="AR236" s="656"/>
      <c r="AS236" s="656"/>
      <c r="AT236" s="656"/>
      <c r="AU236" s="656"/>
      <c r="AV236" s="656"/>
      <c r="AW236" s="656"/>
      <c r="AX236" s="656"/>
      <c r="AY236" s="656"/>
      <c r="AZ236" s="656"/>
      <c r="BA236" s="656"/>
      <c r="BB236" s="656"/>
      <c r="BC236" s="656"/>
      <c r="BD236" s="656"/>
      <c r="BE236" s="656"/>
      <c r="BF236" s="656"/>
      <c r="BG236" s="656"/>
      <c r="BH236" s="656"/>
      <c r="BI236" s="656"/>
      <c r="BJ236" s="656"/>
      <c r="BK236" s="656"/>
      <c r="BL236" s="656"/>
      <c r="BM236" s="656"/>
      <c r="BN236" s="656"/>
      <c r="BO236" s="656"/>
      <c r="BP236" s="656"/>
      <c r="BQ236" s="656"/>
      <c r="BR236" s="656"/>
    </row>
    <row r="237" spans="1:70" s="650" customFormat="1">
      <c r="A237" s="698" t="s">
        <v>79</v>
      </c>
      <c r="B237" s="646">
        <f>SUMIFS($R$5:$R$204,$L$5:$L$204,A237)</f>
        <v>1687.5</v>
      </c>
      <c r="C237" s="672">
        <f t="shared" si="404"/>
        <v>0.23255515898297532</v>
      </c>
      <c r="D237" s="646">
        <f t="shared" si="405"/>
        <v>18882.772307073956</v>
      </c>
      <c r="E237" s="656"/>
      <c r="N237" s="656"/>
      <c r="O237" s="656"/>
      <c r="P237" s="656"/>
      <c r="Q237" s="656"/>
      <c r="R237" s="656"/>
      <c r="S237" s="656"/>
      <c r="T237" s="679"/>
      <c r="U237" s="679"/>
      <c r="V237" s="679"/>
      <c r="W237" s="679"/>
      <c r="X237" s="679"/>
      <c r="Y237" s="679"/>
      <c r="Z237" s="656"/>
      <c r="AA237" s="656"/>
      <c r="AB237" s="656"/>
      <c r="AC237" s="656"/>
      <c r="AD237" s="656"/>
      <c r="AE237" s="656"/>
      <c r="AF237" s="656"/>
      <c r="AG237" s="656"/>
      <c r="AH237" s="656"/>
      <c r="AI237" s="656"/>
      <c r="AJ237" s="656"/>
      <c r="AK237" s="656"/>
      <c r="AL237" s="656"/>
      <c r="AM237" s="656"/>
      <c r="AN237" s="656"/>
      <c r="AO237" s="656"/>
      <c r="AP237" s="656"/>
      <c r="AQ237" s="656"/>
      <c r="AR237" s="656"/>
      <c r="AS237" s="656"/>
      <c r="AT237" s="656"/>
      <c r="AU237" s="656"/>
      <c r="AV237" s="656"/>
      <c r="AW237" s="656"/>
      <c r="AX237" s="656"/>
      <c r="AY237" s="656"/>
      <c r="AZ237" s="656"/>
      <c r="BA237" s="656"/>
      <c r="BB237" s="656"/>
      <c r="BC237" s="656"/>
      <c r="BD237" s="656"/>
      <c r="BE237" s="656"/>
      <c r="BF237" s="656"/>
      <c r="BG237" s="656"/>
      <c r="BH237" s="656"/>
      <c r="BI237" s="656"/>
      <c r="BJ237" s="656"/>
      <c r="BK237" s="656"/>
      <c r="BL237" s="656"/>
      <c r="BM237" s="656"/>
      <c r="BN237" s="656"/>
      <c r="BO237" s="656"/>
      <c r="BP237" s="656"/>
      <c r="BQ237" s="656"/>
      <c r="BR237" s="656"/>
    </row>
    <row r="238" spans="1:70" s="650" customFormat="1">
      <c r="A238" s="698" t="s">
        <v>27</v>
      </c>
      <c r="B238" s="646">
        <f>SUMIFS($R$5:$R$204,$L$5:$L$204,A238)</f>
        <v>0</v>
      </c>
      <c r="C238" s="672">
        <f t="shared" si="404"/>
        <v>0</v>
      </c>
      <c r="D238" s="646">
        <f t="shared" si="405"/>
        <v>0</v>
      </c>
      <c r="E238" s="656"/>
      <c r="N238" s="656"/>
      <c r="O238" s="656"/>
      <c r="P238" s="656"/>
      <c r="Q238" s="656"/>
      <c r="R238" s="656"/>
      <c r="T238" s="681"/>
      <c r="U238" s="681"/>
      <c r="V238" s="681"/>
      <c r="W238" s="681"/>
      <c r="X238" s="681"/>
      <c r="Y238" s="681"/>
      <c r="AV238" s="656"/>
      <c r="AW238" s="656"/>
      <c r="AX238" s="656"/>
      <c r="AY238" s="656"/>
      <c r="AZ238" s="656"/>
      <c r="BA238" s="656"/>
      <c r="BB238" s="656"/>
      <c r="BC238" s="656"/>
      <c r="BD238" s="656"/>
      <c r="BE238" s="656"/>
      <c r="BF238" s="656"/>
      <c r="BG238" s="656"/>
      <c r="BH238" s="656"/>
      <c r="BI238" s="656"/>
      <c r="BJ238" s="656"/>
      <c r="BK238" s="656"/>
      <c r="BL238" s="656"/>
      <c r="BM238" s="656"/>
      <c r="BN238" s="656"/>
      <c r="BO238" s="656"/>
      <c r="BP238" s="656"/>
      <c r="BQ238" s="656"/>
      <c r="BR238" s="656"/>
    </row>
    <row r="239" spans="1:70" s="650" customFormat="1">
      <c r="A239" s="697" t="s">
        <v>7</v>
      </c>
      <c r="B239" s="646">
        <f>SUMIFS($R$5:$R$204,$L$5:$L$204,A239)</f>
        <v>0</v>
      </c>
      <c r="C239" s="672">
        <f t="shared" si="404"/>
        <v>0</v>
      </c>
      <c r="D239" s="646">
        <f t="shared" si="405"/>
        <v>0</v>
      </c>
      <c r="E239" s="656"/>
      <c r="N239" s="656"/>
      <c r="O239" s="656"/>
      <c r="P239" s="656"/>
      <c r="Q239" s="656"/>
      <c r="R239" s="656"/>
      <c r="T239" s="681"/>
      <c r="U239" s="681"/>
      <c r="V239" s="681"/>
      <c r="W239" s="681"/>
      <c r="X239" s="681"/>
      <c r="Y239" s="681"/>
      <c r="AV239" s="656"/>
      <c r="AW239" s="656"/>
      <c r="AX239" s="656"/>
      <c r="AY239" s="656"/>
      <c r="AZ239" s="656"/>
      <c r="BA239" s="656"/>
      <c r="BB239" s="656"/>
      <c r="BC239" s="656"/>
      <c r="BD239" s="656"/>
      <c r="BE239" s="656"/>
      <c r="BF239" s="656"/>
      <c r="BG239" s="656"/>
      <c r="BH239" s="656"/>
      <c r="BI239" s="656"/>
      <c r="BJ239" s="656"/>
      <c r="BK239" s="656"/>
      <c r="BL239" s="656"/>
      <c r="BM239" s="656"/>
      <c r="BN239" s="656"/>
      <c r="BO239" s="656"/>
      <c r="BP239" s="656"/>
      <c r="BQ239" s="656"/>
      <c r="BR239" s="656"/>
    </row>
    <row r="240" spans="1:70" s="650" customFormat="1">
      <c r="A240" s="697" t="s">
        <v>313</v>
      </c>
      <c r="B240" s="646">
        <f>B220</f>
        <v>0</v>
      </c>
      <c r="C240" s="672">
        <f t="shared" si="404"/>
        <v>0</v>
      </c>
      <c r="D240" s="646">
        <f t="shared" si="405"/>
        <v>0</v>
      </c>
      <c r="E240" s="656"/>
      <c r="N240" s="656"/>
      <c r="O240" s="656"/>
      <c r="P240" s="656"/>
      <c r="Q240" s="656"/>
      <c r="R240" s="656"/>
      <c r="T240" s="681"/>
      <c r="U240" s="681"/>
      <c r="V240" s="681"/>
      <c r="W240" s="681"/>
      <c r="X240" s="681"/>
      <c r="Y240" s="681"/>
      <c r="AV240" s="656"/>
      <c r="AW240" s="656"/>
      <c r="AX240" s="656"/>
      <c r="AY240" s="656"/>
      <c r="AZ240" s="656"/>
      <c r="BA240" s="656"/>
      <c r="BB240" s="656"/>
      <c r="BC240" s="656"/>
      <c r="BD240" s="656"/>
      <c r="BE240" s="656"/>
      <c r="BF240" s="656"/>
      <c r="BG240" s="656"/>
      <c r="BH240" s="656"/>
      <c r="BI240" s="656"/>
      <c r="BJ240" s="656"/>
      <c r="BK240" s="656"/>
      <c r="BL240" s="656"/>
      <c r="BM240" s="656"/>
      <c r="BN240" s="656"/>
      <c r="BO240" s="656"/>
      <c r="BP240" s="656"/>
      <c r="BQ240" s="656"/>
      <c r="BR240" s="656"/>
    </row>
    <row r="241" spans="1:70" s="650" customFormat="1">
      <c r="A241" s="696" t="s">
        <v>444</v>
      </c>
      <c r="B241" s="646">
        <f>B221</f>
        <v>0</v>
      </c>
      <c r="C241" s="672">
        <f t="shared" si="404"/>
        <v>0</v>
      </c>
      <c r="D241" s="646">
        <f t="shared" si="405"/>
        <v>0</v>
      </c>
      <c r="E241" s="656"/>
      <c r="N241" s="656"/>
      <c r="O241" s="656"/>
      <c r="P241" s="656"/>
      <c r="Q241" s="656"/>
      <c r="R241" s="656"/>
      <c r="T241" s="681"/>
      <c r="U241" s="681"/>
      <c r="V241" s="681"/>
      <c r="W241" s="681"/>
      <c r="X241" s="681"/>
      <c r="Y241" s="681"/>
      <c r="AV241" s="656"/>
      <c r="AW241" s="656"/>
      <c r="AX241" s="656"/>
      <c r="AY241" s="656"/>
      <c r="AZ241" s="656"/>
      <c r="BA241" s="656"/>
      <c r="BB241" s="656"/>
      <c r="BC241" s="656"/>
      <c r="BD241" s="656"/>
      <c r="BE241" s="656"/>
      <c r="BF241" s="656"/>
      <c r="BG241" s="656"/>
      <c r="BH241" s="656"/>
      <c r="BI241" s="656"/>
      <c r="BJ241" s="656"/>
      <c r="BK241" s="656"/>
      <c r="BL241" s="656"/>
      <c r="BM241" s="656"/>
      <c r="BN241" s="656"/>
      <c r="BO241" s="656"/>
      <c r="BP241" s="656"/>
      <c r="BQ241" s="656"/>
      <c r="BR241" s="656"/>
    </row>
    <row r="242" spans="1:70" s="650" customFormat="1">
      <c r="A242" s="690" t="s">
        <v>2</v>
      </c>
      <c r="B242" s="646"/>
      <c r="C242" s="672">
        <f t="shared" si="404"/>
        <v>0</v>
      </c>
      <c r="D242" s="646">
        <f t="shared" si="405"/>
        <v>0</v>
      </c>
      <c r="E242" s="656"/>
      <c r="N242" s="656"/>
      <c r="O242" s="656"/>
      <c r="P242" s="656"/>
      <c r="Q242" s="656"/>
      <c r="R242" s="656"/>
      <c r="T242" s="681"/>
      <c r="U242" s="681"/>
      <c r="V242" s="681"/>
      <c r="W242" s="681"/>
      <c r="X242" s="681"/>
      <c r="Y242" s="681"/>
      <c r="AV242" s="656"/>
      <c r="AW242" s="656"/>
      <c r="AX242" s="656"/>
      <c r="AY242" s="656"/>
      <c r="AZ242" s="656"/>
      <c r="BA242" s="656"/>
      <c r="BB242" s="656"/>
      <c r="BC242" s="656"/>
      <c r="BD242" s="656"/>
      <c r="BE242" s="656"/>
      <c r="BF242" s="656"/>
      <c r="BG242" s="656"/>
      <c r="BH242" s="656"/>
      <c r="BI242" s="656"/>
      <c r="BJ242" s="656"/>
      <c r="BK242" s="656"/>
      <c r="BL242" s="656"/>
      <c r="BM242" s="656"/>
      <c r="BN242" s="656"/>
      <c r="BO242" s="656"/>
      <c r="BP242" s="656"/>
      <c r="BQ242" s="656"/>
      <c r="BR242" s="656"/>
    </row>
    <row r="243" spans="1:70" s="650" customFormat="1">
      <c r="A243" s="697" t="s">
        <v>119</v>
      </c>
      <c r="B243" s="646">
        <f>SUM(B235:B242)</f>
        <v>7256.3429999999998</v>
      </c>
      <c r="C243" s="672">
        <f>SUM(C235:C242)</f>
        <v>1</v>
      </c>
      <c r="D243" s="646">
        <f>SUM(D235:D242)</f>
        <v>81196.961570980711</v>
      </c>
      <c r="E243" s="656"/>
      <c r="N243" s="656"/>
      <c r="O243" s="656"/>
      <c r="P243" s="656"/>
      <c r="Q243" s="656"/>
      <c r="R243" s="656"/>
      <c r="T243" s="681"/>
      <c r="U243" s="681"/>
      <c r="V243" s="681"/>
      <c r="W243" s="681"/>
      <c r="X243" s="681"/>
      <c r="Y243" s="681"/>
      <c r="AV243" s="656"/>
      <c r="AW243" s="656"/>
      <c r="AX243" s="656"/>
      <c r="AY243" s="656"/>
      <c r="AZ243" s="656"/>
      <c r="BA243" s="656"/>
      <c r="BB243" s="656"/>
      <c r="BC243" s="656"/>
      <c r="BD243" s="656"/>
      <c r="BE243" s="656"/>
      <c r="BF243" s="656"/>
      <c r="BG243" s="656"/>
      <c r="BH243" s="656"/>
      <c r="BI243" s="656"/>
      <c r="BJ243" s="656"/>
      <c r="BK243" s="656"/>
      <c r="BL243" s="656"/>
      <c r="BM243" s="656"/>
      <c r="BN243" s="656"/>
      <c r="BO243" s="656"/>
      <c r="BP243" s="656"/>
      <c r="BQ243" s="656"/>
      <c r="BR243" s="656"/>
    </row>
    <row r="244" spans="1:70">
      <c r="C244" s="648"/>
      <c r="D244" s="625"/>
      <c r="E244" s="625"/>
      <c r="N244" s="624"/>
      <c r="O244" s="624"/>
      <c r="P244" s="624"/>
      <c r="Q244" s="624"/>
      <c r="R244" s="624"/>
    </row>
    <row r="245" spans="1:70" ht="25.2">
      <c r="A245" s="680" t="s">
        <v>178</v>
      </c>
      <c r="B245" s="680" t="s">
        <v>445</v>
      </c>
      <c r="C245" s="680" t="s">
        <v>440</v>
      </c>
      <c r="D245" s="625"/>
      <c r="E245" s="625"/>
      <c r="N245" s="624"/>
      <c r="O245" s="624"/>
      <c r="P245" s="624"/>
      <c r="Q245" s="624"/>
      <c r="R245" s="624"/>
    </row>
    <row r="246" spans="1:70">
      <c r="A246" s="682" t="s">
        <v>114</v>
      </c>
      <c r="B246" s="700">
        <f>AV206</f>
        <v>0.21262057877813506</v>
      </c>
      <c r="C246" s="683">
        <f>AW206</f>
        <v>0.43761814744801514</v>
      </c>
      <c r="D246" s="625"/>
      <c r="E246" s="625"/>
      <c r="N246" s="624"/>
      <c r="O246" s="624"/>
      <c r="P246" s="624"/>
      <c r="Q246" s="624"/>
      <c r="R246" s="624"/>
    </row>
    <row r="247" spans="1:70">
      <c r="A247" s="684" t="s">
        <v>38</v>
      </c>
      <c r="B247" s="700">
        <f>AX206</f>
        <v>0.29702572347266881</v>
      </c>
      <c r="C247" s="683">
        <f>AY206</f>
        <v>0.38430311231393777</v>
      </c>
      <c r="D247" s="625"/>
      <c r="E247" s="625"/>
      <c r="N247" s="624"/>
      <c r="O247" s="624"/>
      <c r="P247" s="624"/>
      <c r="Q247" s="624"/>
      <c r="R247" s="624"/>
    </row>
    <row r="248" spans="1:70">
      <c r="A248" s="684" t="s">
        <v>40</v>
      </c>
      <c r="B248" s="700">
        <f>AZ206</f>
        <v>0.24196141479099678</v>
      </c>
      <c r="C248" s="683">
        <v>0.54</v>
      </c>
      <c r="D248" s="625"/>
      <c r="E248" s="625"/>
      <c r="N248" s="624"/>
      <c r="O248" s="624"/>
      <c r="P248" s="624"/>
      <c r="Q248" s="624"/>
      <c r="R248" s="624"/>
    </row>
    <row r="249" spans="1:70">
      <c r="A249" s="684" t="s">
        <v>42</v>
      </c>
      <c r="B249" s="700">
        <f>BB206</f>
        <v>0.17363344051446947</v>
      </c>
      <c r="C249" s="683">
        <v>0</v>
      </c>
      <c r="D249" s="625"/>
      <c r="E249" s="625"/>
      <c r="N249" s="624"/>
      <c r="O249" s="624"/>
      <c r="P249" s="624"/>
      <c r="Q249" s="624"/>
      <c r="R249" s="624"/>
    </row>
    <row r="250" spans="1:70">
      <c r="A250" s="684" t="s">
        <v>44</v>
      </c>
      <c r="B250" s="700">
        <f>BD206</f>
        <v>7.4758842443729906E-2</v>
      </c>
      <c r="C250" s="683">
        <f>BE206</f>
        <v>0</v>
      </c>
      <c r="D250" s="625"/>
      <c r="E250" s="625"/>
      <c r="N250" s="624"/>
      <c r="O250" s="624"/>
      <c r="P250" s="624"/>
      <c r="Q250" s="624"/>
      <c r="R250" s="624"/>
    </row>
    <row r="251" spans="1:70">
      <c r="D251" s="625"/>
      <c r="E251" s="625"/>
      <c r="N251" s="624"/>
      <c r="O251" s="624"/>
      <c r="P251" s="624"/>
      <c r="Q251" s="624"/>
      <c r="R251" s="624"/>
    </row>
    <row r="252" spans="1:70">
      <c r="D252" s="625"/>
      <c r="E252" s="625"/>
      <c r="N252" s="624"/>
      <c r="O252" s="624"/>
      <c r="P252" s="624"/>
      <c r="Q252" s="624"/>
      <c r="R252" s="624"/>
    </row>
    <row r="253" spans="1:70">
      <c r="D253" s="625"/>
      <c r="E253" s="625"/>
      <c r="N253" s="624"/>
      <c r="O253" s="624"/>
      <c r="P253" s="624"/>
      <c r="Q253" s="624"/>
      <c r="R253" s="624"/>
    </row>
    <row r="254" spans="1:70">
      <c r="N254" s="624"/>
      <c r="O254" s="624"/>
      <c r="P254" s="624"/>
      <c r="Q254" s="624"/>
      <c r="R254" s="624"/>
    </row>
    <row r="271" spans="2:3">
      <c r="B271" s="1076">
        <v>2.25</v>
      </c>
      <c r="C271" s="1076">
        <f>B271*$D$473</f>
        <v>1.6919999999999999</v>
      </c>
    </row>
    <row r="272" spans="2:3">
      <c r="B272" s="1077"/>
      <c r="C272" s="1077"/>
    </row>
    <row r="273" spans="2:3">
      <c r="B273" s="1076">
        <v>2.4000000000000004</v>
      </c>
      <c r="C273" s="1076">
        <f t="shared" ref="C273" si="406">B273*$D$473</f>
        <v>1.8048000000000002</v>
      </c>
    </row>
    <row r="274" spans="2:3">
      <c r="B274" s="1077"/>
      <c r="C274" s="1077"/>
    </row>
    <row r="275" spans="2:3">
      <c r="B275" s="1076">
        <v>2.25</v>
      </c>
      <c r="C275" s="1076">
        <f t="shared" ref="C275" si="407">B275*$D$473</f>
        <v>1.6919999999999999</v>
      </c>
    </row>
    <row r="276" spans="2:3">
      <c r="B276" s="1077"/>
      <c r="C276" s="1077"/>
    </row>
    <row r="277" spans="2:3">
      <c r="B277" s="1076">
        <v>2.7</v>
      </c>
      <c r="C277" s="1076">
        <f t="shared" ref="C277" si="408">B277*$D$473</f>
        <v>2.0304000000000002</v>
      </c>
    </row>
    <row r="278" spans="2:3">
      <c r="B278" s="1077"/>
      <c r="C278" s="1077"/>
    </row>
    <row r="279" spans="2:3">
      <c r="B279" s="1076">
        <v>3</v>
      </c>
      <c r="C279" s="1076">
        <f t="shared" ref="C279" si="409">B279*$D$473</f>
        <v>2.2560000000000002</v>
      </c>
    </row>
    <row r="280" spans="2:3">
      <c r="B280" s="1077"/>
      <c r="C280" s="1077"/>
    </row>
    <row r="281" spans="2:3">
      <c r="B281" s="1076">
        <v>2.25</v>
      </c>
      <c r="C281" s="1076">
        <f t="shared" ref="C281" si="410">B281*$D$473</f>
        <v>1.6919999999999999</v>
      </c>
    </row>
    <row r="282" spans="2:3">
      <c r="B282" s="1077"/>
      <c r="C282" s="1077"/>
    </row>
    <row r="283" spans="2:3">
      <c r="B283" s="1076">
        <v>2.3250000000000002</v>
      </c>
      <c r="C283" s="1076">
        <f t="shared" ref="C283" si="411">B283*$D$473</f>
        <v>1.7484000000000002</v>
      </c>
    </row>
    <row r="284" spans="2:3">
      <c r="B284" s="1077"/>
      <c r="C284" s="1077"/>
    </row>
    <row r="285" spans="2:3">
      <c r="B285" s="1076">
        <v>2.625</v>
      </c>
      <c r="C285" s="1076">
        <f t="shared" ref="C285" si="412">B285*$D$473</f>
        <v>1.974</v>
      </c>
    </row>
    <row r="286" spans="2:3">
      <c r="B286" s="1077"/>
      <c r="C286" s="1077"/>
    </row>
    <row r="287" spans="2:3">
      <c r="B287" s="1076">
        <v>2.8499999999999996</v>
      </c>
      <c r="C287" s="1076">
        <f t="shared" ref="C287" si="413">B287*$D$473</f>
        <v>2.1431999999999998</v>
      </c>
    </row>
    <row r="288" spans="2:3">
      <c r="B288" s="1077"/>
      <c r="C288" s="1077"/>
    </row>
    <row r="289" spans="2:3">
      <c r="B289" s="1076">
        <v>2.1749999999999998</v>
      </c>
      <c r="C289" s="1076">
        <f t="shared" ref="C289" si="414">B289*$D$473</f>
        <v>1.6355999999999999</v>
      </c>
    </row>
    <row r="290" spans="2:3">
      <c r="B290" s="1077"/>
      <c r="C290" s="1077"/>
    </row>
    <row r="291" spans="2:3">
      <c r="B291" s="1076">
        <v>2.5499999999999998</v>
      </c>
      <c r="C291" s="1076">
        <f t="shared" ref="C291" si="415">B291*$D$473</f>
        <v>1.9176</v>
      </c>
    </row>
    <row r="292" spans="2:3">
      <c r="B292" s="1077"/>
      <c r="C292" s="1077"/>
    </row>
    <row r="293" spans="2:3">
      <c r="B293" s="1076">
        <v>2.4000000000000004</v>
      </c>
      <c r="C293" s="1076">
        <f t="shared" ref="C293" si="416">B293*$D$473</f>
        <v>1.8048000000000002</v>
      </c>
    </row>
    <row r="294" spans="2:3">
      <c r="B294" s="1077"/>
      <c r="C294" s="1077"/>
    </row>
    <row r="295" spans="2:3">
      <c r="B295" s="1076">
        <v>2.1749999999999998</v>
      </c>
      <c r="C295" s="1076">
        <f t="shared" ref="C295" si="417">B295*$D$473</f>
        <v>1.6355999999999999</v>
      </c>
    </row>
    <row r="296" spans="2:3">
      <c r="B296" s="1077"/>
      <c r="C296" s="1077"/>
    </row>
    <row r="297" spans="2:3">
      <c r="B297" s="1076">
        <v>2.25</v>
      </c>
      <c r="C297" s="1076">
        <f t="shared" ref="C297" si="418">B297*$D$473</f>
        <v>1.6919999999999999</v>
      </c>
    </row>
    <row r="298" spans="2:3">
      <c r="B298" s="1077"/>
      <c r="C298" s="1077"/>
    </row>
    <row r="299" spans="2:3">
      <c r="B299" s="1076">
        <v>2.4000000000000004</v>
      </c>
      <c r="C299" s="1076">
        <f t="shared" ref="C299" si="419">B299*$D$473</f>
        <v>1.8048000000000002</v>
      </c>
    </row>
    <row r="300" spans="2:3">
      <c r="B300" s="1077"/>
      <c r="C300" s="1077"/>
    </row>
    <row r="301" spans="2:3">
      <c r="B301" s="1076">
        <v>2.25</v>
      </c>
      <c r="C301" s="1076">
        <f t="shared" ref="C301" si="420">B301*$D$473</f>
        <v>1.6919999999999999</v>
      </c>
    </row>
    <row r="302" spans="2:3">
      <c r="B302" s="1077"/>
      <c r="C302" s="1077"/>
    </row>
    <row r="303" spans="2:3">
      <c r="B303" s="1076">
        <v>2.7</v>
      </c>
      <c r="C303" s="1076">
        <f t="shared" ref="C303" si="421">B303*$D$473</f>
        <v>2.0304000000000002</v>
      </c>
    </row>
    <row r="304" spans="2:3">
      <c r="B304" s="1077"/>
      <c r="C304" s="1077"/>
    </row>
    <row r="305" spans="2:3">
      <c r="B305" s="1076">
        <v>3</v>
      </c>
      <c r="C305" s="1076">
        <f t="shared" ref="C305" si="422">B305*$D$473</f>
        <v>2.2560000000000002</v>
      </c>
    </row>
    <row r="306" spans="2:3">
      <c r="B306" s="1077"/>
      <c r="C306" s="1077"/>
    </row>
    <row r="307" spans="2:3">
      <c r="B307" s="1076">
        <v>2.25</v>
      </c>
      <c r="C307" s="1076">
        <f t="shared" ref="C307" si="423">B307*$D$473</f>
        <v>1.6919999999999999</v>
      </c>
    </row>
    <row r="308" spans="2:3">
      <c r="B308" s="1077"/>
      <c r="C308" s="1077"/>
    </row>
    <row r="309" spans="2:3">
      <c r="B309" s="1076">
        <v>2.4000000000000004</v>
      </c>
      <c r="C309" s="1076">
        <f t="shared" ref="C309" si="424">B309*$D$473</f>
        <v>1.8048000000000002</v>
      </c>
    </row>
    <row r="310" spans="2:3">
      <c r="B310" s="1077"/>
      <c r="C310" s="1077"/>
    </row>
    <row r="311" spans="2:3">
      <c r="B311" s="1076">
        <v>2.25</v>
      </c>
      <c r="C311" s="1076">
        <f t="shared" ref="C311" si="425">B311*$D$473</f>
        <v>1.6919999999999999</v>
      </c>
    </row>
    <row r="312" spans="2:3">
      <c r="B312" s="1077"/>
      <c r="C312" s="1077"/>
    </row>
    <row r="313" spans="2:3">
      <c r="B313" s="1076">
        <v>2.7</v>
      </c>
      <c r="C313" s="1076">
        <f t="shared" ref="C313" si="426">B313*$D$473</f>
        <v>2.0304000000000002</v>
      </c>
    </row>
    <row r="314" spans="2:3">
      <c r="B314" s="1077"/>
      <c r="C314" s="1077"/>
    </row>
    <row r="315" spans="2:3">
      <c r="B315" s="1076">
        <v>3</v>
      </c>
      <c r="C315" s="1076">
        <f t="shared" ref="C315" si="427">B315*$D$473</f>
        <v>2.2560000000000002</v>
      </c>
    </row>
    <row r="316" spans="2:3">
      <c r="B316" s="1077"/>
      <c r="C316" s="1077"/>
    </row>
    <row r="317" spans="2:3">
      <c r="B317" s="1076">
        <v>2.25</v>
      </c>
      <c r="C317" s="1076">
        <f t="shared" ref="C317" si="428">B317*$D$473</f>
        <v>1.6919999999999999</v>
      </c>
    </row>
    <row r="318" spans="2:3">
      <c r="B318" s="1077"/>
      <c r="C318" s="1077"/>
    </row>
    <row r="319" spans="2:3">
      <c r="B319" s="1076">
        <v>2.3250000000000002</v>
      </c>
      <c r="C319" s="1076">
        <f t="shared" ref="C319" si="429">B319*$D$473</f>
        <v>1.7484000000000002</v>
      </c>
    </row>
    <row r="320" spans="2:3">
      <c r="B320" s="1077"/>
      <c r="C320" s="1077"/>
    </row>
    <row r="321" spans="2:3">
      <c r="B321" s="1076">
        <v>2.625</v>
      </c>
      <c r="C321" s="1076">
        <f t="shared" ref="C321" si="430">B321*$D$473</f>
        <v>1.974</v>
      </c>
    </row>
    <row r="322" spans="2:3">
      <c r="B322" s="1077"/>
      <c r="C322" s="1077"/>
    </row>
    <row r="323" spans="2:3">
      <c r="B323" s="1076">
        <v>2.8499999999999996</v>
      </c>
      <c r="C323" s="1076">
        <f t="shared" ref="C323" si="431">B323*$D$473</f>
        <v>2.1431999999999998</v>
      </c>
    </row>
    <row r="324" spans="2:3">
      <c r="B324" s="1077"/>
      <c r="C324" s="1077"/>
    </row>
    <row r="325" spans="2:3">
      <c r="B325" s="1076">
        <v>2.1749999999999998</v>
      </c>
      <c r="C325" s="1076">
        <f t="shared" ref="C325" si="432">B325*$D$473</f>
        <v>1.6355999999999999</v>
      </c>
    </row>
    <row r="326" spans="2:3">
      <c r="B326" s="1077"/>
      <c r="C326" s="1077"/>
    </row>
    <row r="327" spans="2:3">
      <c r="B327" s="1076">
        <v>2.5499999999999998</v>
      </c>
      <c r="C327" s="1076">
        <f t="shared" ref="C327" si="433">B327*$D$473</f>
        <v>1.9176</v>
      </c>
    </row>
    <row r="328" spans="2:3">
      <c r="B328" s="1077"/>
      <c r="C328" s="1077"/>
    </row>
    <row r="329" spans="2:3">
      <c r="B329" s="1076">
        <v>2.4000000000000004</v>
      </c>
      <c r="C329" s="1076">
        <f t="shared" ref="C329" si="434">B329*$D$473</f>
        <v>1.8048000000000002</v>
      </c>
    </row>
    <row r="330" spans="2:3">
      <c r="B330" s="1077"/>
      <c r="C330" s="1077"/>
    </row>
    <row r="331" spans="2:3">
      <c r="B331" s="1076">
        <v>2.1749999999999998</v>
      </c>
      <c r="C331" s="1076">
        <f t="shared" ref="C331" si="435">B331*$D$473</f>
        <v>1.6355999999999999</v>
      </c>
    </row>
    <row r="332" spans="2:3">
      <c r="B332" s="1077"/>
      <c r="C332" s="1077"/>
    </row>
    <row r="333" spans="2:3">
      <c r="B333" s="1076">
        <v>2.25</v>
      </c>
      <c r="C333" s="1076">
        <f t="shared" ref="C333" si="436">B333*$D$473</f>
        <v>1.6919999999999999</v>
      </c>
    </row>
    <row r="334" spans="2:3">
      <c r="B334" s="1077"/>
      <c r="C334" s="1077"/>
    </row>
    <row r="335" spans="2:3">
      <c r="B335" s="1076">
        <v>2.4000000000000004</v>
      </c>
      <c r="C335" s="1076">
        <f t="shared" ref="C335" si="437">B335*$D$473</f>
        <v>1.8048000000000002</v>
      </c>
    </row>
    <row r="336" spans="2:3">
      <c r="B336" s="1077"/>
      <c r="C336" s="1077"/>
    </row>
    <row r="337" spans="2:3">
      <c r="B337" s="1076">
        <v>2.25</v>
      </c>
      <c r="C337" s="1076">
        <f t="shared" ref="C337" si="438">B337*$D$473</f>
        <v>1.6919999999999999</v>
      </c>
    </row>
    <row r="338" spans="2:3">
      <c r="B338" s="1077"/>
      <c r="C338" s="1077"/>
    </row>
    <row r="339" spans="2:3">
      <c r="B339" s="1076">
        <v>2.7</v>
      </c>
      <c r="C339" s="1076">
        <f t="shared" ref="C339" si="439">B339*$D$473</f>
        <v>2.0304000000000002</v>
      </c>
    </row>
    <row r="340" spans="2:3">
      <c r="B340" s="1077"/>
      <c r="C340" s="1077"/>
    </row>
    <row r="341" spans="2:3">
      <c r="B341" s="1076">
        <v>3</v>
      </c>
      <c r="C341" s="1076">
        <f t="shared" ref="C341" si="440">B341*$D$473</f>
        <v>2.2560000000000002</v>
      </c>
    </row>
    <row r="342" spans="2:3">
      <c r="B342" s="1077"/>
      <c r="C342" s="1077"/>
    </row>
    <row r="343" spans="2:3">
      <c r="B343" s="1076">
        <v>2.25</v>
      </c>
      <c r="C343" s="1076">
        <f t="shared" ref="C343" si="441">B343*$D$473</f>
        <v>1.6919999999999999</v>
      </c>
    </row>
    <row r="344" spans="2:3">
      <c r="B344" s="1077"/>
      <c r="C344" s="1077"/>
    </row>
    <row r="345" spans="2:3">
      <c r="B345" s="1076">
        <v>2.4000000000000004</v>
      </c>
      <c r="C345" s="1076">
        <f t="shared" ref="C345" si="442">B345*$D$473</f>
        <v>1.8048000000000002</v>
      </c>
    </row>
    <row r="346" spans="2:3">
      <c r="B346" s="1077"/>
      <c r="C346" s="1077"/>
    </row>
    <row r="347" spans="2:3">
      <c r="B347" s="1076">
        <v>2.25</v>
      </c>
      <c r="C347" s="1076">
        <f t="shared" ref="C347" si="443">B347*$D$473</f>
        <v>1.6919999999999999</v>
      </c>
    </row>
    <row r="348" spans="2:3">
      <c r="B348" s="1077"/>
      <c r="C348" s="1077"/>
    </row>
    <row r="349" spans="2:3">
      <c r="B349" s="1076">
        <v>2.7</v>
      </c>
      <c r="C349" s="1076">
        <f t="shared" ref="C349" si="444">B349*$D$473</f>
        <v>2.0304000000000002</v>
      </c>
    </row>
    <row r="350" spans="2:3">
      <c r="B350" s="1077"/>
      <c r="C350" s="1077"/>
    </row>
    <row r="351" spans="2:3">
      <c r="B351" s="1076">
        <v>3</v>
      </c>
      <c r="C351" s="1076">
        <f t="shared" ref="C351" si="445">B351*$D$473</f>
        <v>2.2560000000000002</v>
      </c>
    </row>
    <row r="352" spans="2:3">
      <c r="B352" s="1077"/>
      <c r="C352" s="1077"/>
    </row>
    <row r="353" spans="2:3">
      <c r="B353" s="1076">
        <v>2.25</v>
      </c>
      <c r="C353" s="1076">
        <f t="shared" ref="C353" si="446">B353*$D$473</f>
        <v>1.6919999999999999</v>
      </c>
    </row>
    <row r="354" spans="2:3">
      <c r="B354" s="1077"/>
      <c r="C354" s="1077"/>
    </row>
    <row r="355" spans="2:3">
      <c r="B355" s="1076">
        <v>2.3250000000000002</v>
      </c>
      <c r="C355" s="1076">
        <f t="shared" ref="C355" si="447">B355*$D$473</f>
        <v>1.7484000000000002</v>
      </c>
    </row>
    <row r="356" spans="2:3">
      <c r="B356" s="1077"/>
      <c r="C356" s="1077"/>
    </row>
    <row r="357" spans="2:3">
      <c r="B357" s="1076">
        <v>2.625</v>
      </c>
      <c r="C357" s="1076">
        <f t="shared" ref="C357" si="448">B357*$D$473</f>
        <v>1.974</v>
      </c>
    </row>
    <row r="358" spans="2:3">
      <c r="B358" s="1077"/>
      <c r="C358" s="1077"/>
    </row>
    <row r="359" spans="2:3">
      <c r="B359" s="1076">
        <v>2.8499999999999996</v>
      </c>
      <c r="C359" s="1076">
        <f t="shared" ref="C359" si="449">B359*$D$473</f>
        <v>2.1431999999999998</v>
      </c>
    </row>
    <row r="360" spans="2:3">
      <c r="B360" s="1077"/>
      <c r="C360" s="1077"/>
    </row>
    <row r="361" spans="2:3">
      <c r="B361" s="1076">
        <v>2.1749999999999998</v>
      </c>
      <c r="C361" s="1076">
        <f t="shared" ref="C361" si="450">B361*$D$473</f>
        <v>1.6355999999999999</v>
      </c>
    </row>
    <row r="362" spans="2:3">
      <c r="B362" s="1077"/>
      <c r="C362" s="1077"/>
    </row>
    <row r="363" spans="2:3">
      <c r="B363" s="1076">
        <v>2.5499999999999998</v>
      </c>
      <c r="C363" s="1076">
        <f t="shared" ref="C363" si="451">B363*$D$473</f>
        <v>1.9176</v>
      </c>
    </row>
    <row r="364" spans="2:3">
      <c r="B364" s="1077"/>
      <c r="C364" s="1077"/>
    </row>
    <row r="365" spans="2:3">
      <c r="B365" s="1076">
        <v>2.4000000000000004</v>
      </c>
      <c r="C365" s="1076">
        <f t="shared" ref="C365" si="452">B365*$D$473</f>
        <v>1.8048000000000002</v>
      </c>
    </row>
    <row r="366" spans="2:3">
      <c r="B366" s="1077"/>
      <c r="C366" s="1077"/>
    </row>
    <row r="367" spans="2:3">
      <c r="B367" s="1076">
        <v>2.1749999999999998</v>
      </c>
      <c r="C367" s="1076">
        <f t="shared" ref="C367" si="453">B367*$D$473</f>
        <v>1.6355999999999999</v>
      </c>
    </row>
    <row r="368" spans="2:3">
      <c r="B368" s="1077"/>
      <c r="C368" s="1077"/>
    </row>
    <row r="369" spans="2:3">
      <c r="B369" s="1076">
        <v>2.25</v>
      </c>
      <c r="C369" s="1076">
        <f t="shared" ref="C369" si="454">B369*$D$473</f>
        <v>1.6919999999999999</v>
      </c>
    </row>
    <row r="370" spans="2:3">
      <c r="B370" s="1077"/>
      <c r="C370" s="1077"/>
    </row>
    <row r="371" spans="2:3">
      <c r="B371" s="1076">
        <v>2.4000000000000004</v>
      </c>
      <c r="C371" s="1076">
        <f t="shared" ref="C371" si="455">B371*$D$473</f>
        <v>1.8048000000000002</v>
      </c>
    </row>
    <row r="372" spans="2:3">
      <c r="B372" s="1077"/>
      <c r="C372" s="1077"/>
    </row>
    <row r="373" spans="2:3">
      <c r="B373" s="1076">
        <v>2.25</v>
      </c>
      <c r="C373" s="1076">
        <f t="shared" ref="C373" si="456">B373*$D$473</f>
        <v>1.6919999999999999</v>
      </c>
    </row>
    <row r="374" spans="2:3">
      <c r="B374" s="1077"/>
      <c r="C374" s="1077"/>
    </row>
    <row r="375" spans="2:3">
      <c r="B375" s="1076">
        <v>2.7</v>
      </c>
      <c r="C375" s="1076">
        <f t="shared" ref="C375" si="457">B375*$D$473</f>
        <v>2.0304000000000002</v>
      </c>
    </row>
    <row r="376" spans="2:3">
      <c r="B376" s="1077"/>
      <c r="C376" s="1077"/>
    </row>
    <row r="377" spans="2:3">
      <c r="B377" s="1076">
        <v>3</v>
      </c>
      <c r="C377" s="1076">
        <f t="shared" ref="C377" si="458">B377*$D$473</f>
        <v>2.2560000000000002</v>
      </c>
    </row>
    <row r="378" spans="2:3">
      <c r="B378" s="1077"/>
      <c r="C378" s="1077"/>
    </row>
    <row r="379" spans="2:3">
      <c r="B379" s="1076">
        <v>2.25</v>
      </c>
      <c r="C379" s="1076">
        <f t="shared" ref="C379" si="459">B379*$D$473</f>
        <v>1.6919999999999999</v>
      </c>
    </row>
    <row r="380" spans="2:3">
      <c r="B380" s="1077"/>
      <c r="C380" s="1077"/>
    </row>
    <row r="381" spans="2:3">
      <c r="B381" s="1076">
        <v>2.4000000000000004</v>
      </c>
      <c r="C381" s="1076">
        <f t="shared" ref="C381" si="460">B381*$D$473</f>
        <v>1.8048000000000002</v>
      </c>
    </row>
    <row r="382" spans="2:3">
      <c r="B382" s="1077"/>
      <c r="C382" s="1077"/>
    </row>
    <row r="383" spans="2:3">
      <c r="B383" s="1076">
        <v>2.25</v>
      </c>
      <c r="C383" s="1076">
        <f t="shared" ref="C383" si="461">B383*$D$473</f>
        <v>1.6919999999999999</v>
      </c>
    </row>
    <row r="384" spans="2:3">
      <c r="B384" s="1077"/>
      <c r="C384" s="1077"/>
    </row>
    <row r="385" spans="2:3">
      <c r="B385" s="1076">
        <v>2.7</v>
      </c>
      <c r="C385" s="1076">
        <f t="shared" ref="C385" si="462">B385*$D$473</f>
        <v>2.0304000000000002</v>
      </c>
    </row>
    <row r="386" spans="2:3">
      <c r="B386" s="1077"/>
      <c r="C386" s="1077"/>
    </row>
    <row r="387" spans="2:3">
      <c r="B387" s="1076">
        <v>3</v>
      </c>
      <c r="C387" s="1076">
        <f t="shared" ref="C387" si="463">B387*$D$473</f>
        <v>2.2560000000000002</v>
      </c>
    </row>
    <row r="388" spans="2:3">
      <c r="B388" s="1077"/>
      <c r="C388" s="1077"/>
    </row>
    <row r="389" spans="2:3">
      <c r="B389" s="1076">
        <v>2.25</v>
      </c>
      <c r="C389" s="1076">
        <f t="shared" ref="C389" si="464">B389*$D$473</f>
        <v>1.6919999999999999</v>
      </c>
    </row>
    <row r="390" spans="2:3">
      <c r="B390" s="1077"/>
      <c r="C390" s="1077"/>
    </row>
    <row r="391" spans="2:3">
      <c r="B391" s="1076">
        <v>2.3250000000000002</v>
      </c>
      <c r="C391" s="1076">
        <f t="shared" ref="C391" si="465">B391*$D$473</f>
        <v>1.7484000000000002</v>
      </c>
    </row>
    <row r="392" spans="2:3">
      <c r="B392" s="1077"/>
      <c r="C392" s="1077"/>
    </row>
    <row r="393" spans="2:3">
      <c r="B393" s="1076">
        <v>2.625</v>
      </c>
      <c r="C393" s="1076">
        <f t="shared" ref="C393" si="466">B393*$D$473</f>
        <v>1.974</v>
      </c>
    </row>
    <row r="394" spans="2:3">
      <c r="B394" s="1077"/>
      <c r="C394" s="1077"/>
    </row>
    <row r="395" spans="2:3">
      <c r="B395" s="1076">
        <v>2.8499999999999996</v>
      </c>
      <c r="C395" s="1076">
        <f t="shared" ref="C395" si="467">B395*$D$473</f>
        <v>2.1431999999999998</v>
      </c>
    </row>
    <row r="396" spans="2:3">
      <c r="B396" s="1077"/>
      <c r="C396" s="1077"/>
    </row>
    <row r="397" spans="2:3">
      <c r="B397" s="1076">
        <v>2.1749999999999998</v>
      </c>
      <c r="C397" s="1076">
        <f t="shared" ref="C397" si="468">B397*$D$473</f>
        <v>1.6355999999999999</v>
      </c>
    </row>
    <row r="398" spans="2:3">
      <c r="B398" s="1077"/>
      <c r="C398" s="1077"/>
    </row>
    <row r="399" spans="2:3">
      <c r="B399" s="1076">
        <v>2.5499999999999998</v>
      </c>
      <c r="C399" s="1076">
        <f t="shared" ref="C399" si="469">B399*$D$473</f>
        <v>1.9176</v>
      </c>
    </row>
    <row r="400" spans="2:3">
      <c r="B400" s="1077"/>
      <c r="C400" s="1077"/>
    </row>
    <row r="401" spans="2:3">
      <c r="B401" s="1076">
        <v>2.4000000000000004</v>
      </c>
      <c r="C401" s="1076">
        <f t="shared" ref="C401" si="470">B401*$D$473</f>
        <v>1.8048000000000002</v>
      </c>
    </row>
    <row r="402" spans="2:3">
      <c r="B402" s="1077"/>
      <c r="C402" s="1077"/>
    </row>
    <row r="403" spans="2:3">
      <c r="B403" s="1076">
        <v>2.1749999999999998</v>
      </c>
      <c r="C403" s="1076">
        <f t="shared" ref="C403" si="471">B403*$D$473</f>
        <v>1.6355999999999999</v>
      </c>
    </row>
    <row r="404" spans="2:3">
      <c r="B404" s="1077"/>
      <c r="C404" s="1077"/>
    </row>
    <row r="405" spans="2:3">
      <c r="B405" s="1076">
        <v>2.25</v>
      </c>
      <c r="C405" s="1076">
        <f t="shared" ref="C405" si="472">B405*$D$473</f>
        <v>1.6919999999999999</v>
      </c>
    </row>
    <row r="406" spans="2:3">
      <c r="B406" s="1077"/>
      <c r="C406" s="1077"/>
    </row>
    <row r="407" spans="2:3">
      <c r="B407" s="1076">
        <v>2.4000000000000004</v>
      </c>
      <c r="C407" s="1076">
        <f t="shared" ref="C407" si="473">B407*$D$473</f>
        <v>1.8048000000000002</v>
      </c>
    </row>
    <row r="408" spans="2:3">
      <c r="B408" s="1077"/>
      <c r="C408" s="1077"/>
    </row>
    <row r="409" spans="2:3">
      <c r="B409" s="1076">
        <v>2.25</v>
      </c>
      <c r="C409" s="1076">
        <f t="shared" ref="C409" si="474">B409*$D$473</f>
        <v>1.6919999999999999</v>
      </c>
    </row>
    <row r="410" spans="2:3">
      <c r="B410" s="1077"/>
      <c r="C410" s="1077"/>
    </row>
    <row r="411" spans="2:3">
      <c r="B411" s="1076">
        <v>2.7</v>
      </c>
      <c r="C411" s="1076">
        <f t="shared" ref="C411" si="475">B411*$D$473</f>
        <v>2.0304000000000002</v>
      </c>
    </row>
    <row r="412" spans="2:3">
      <c r="B412" s="1077"/>
      <c r="C412" s="1077"/>
    </row>
    <row r="413" spans="2:3">
      <c r="B413" s="1076">
        <v>3</v>
      </c>
      <c r="C413" s="1076">
        <f t="shared" ref="C413" si="476">B413*$D$473</f>
        <v>2.2560000000000002</v>
      </c>
    </row>
    <row r="414" spans="2:3">
      <c r="B414" s="1077"/>
      <c r="C414" s="1077"/>
    </row>
    <row r="415" spans="2:3">
      <c r="B415" s="1076">
        <v>2.4000000000000004</v>
      </c>
      <c r="C415" s="1076">
        <f t="shared" ref="C415" si="477">B415*$D$473</f>
        <v>1.8048000000000002</v>
      </c>
    </row>
    <row r="416" spans="2:3">
      <c r="B416" s="1077"/>
      <c r="C416" s="1077"/>
    </row>
    <row r="417" spans="2:3">
      <c r="B417" s="1076">
        <v>2.1749999999999998</v>
      </c>
      <c r="C417" s="1076">
        <f t="shared" ref="C417" si="478">B417*$D$473</f>
        <v>1.6355999999999999</v>
      </c>
    </row>
    <row r="418" spans="2:3">
      <c r="B418" s="1077"/>
      <c r="C418" s="1077"/>
    </row>
    <row r="419" spans="2:3">
      <c r="B419" s="1076">
        <v>2.25</v>
      </c>
      <c r="C419" s="1076">
        <f t="shared" ref="C419" si="479">B419*$D$473</f>
        <v>1.6919999999999999</v>
      </c>
    </row>
    <row r="420" spans="2:3">
      <c r="B420" s="1077"/>
      <c r="C420" s="1077"/>
    </row>
    <row r="421" spans="2:3">
      <c r="B421" s="1076">
        <v>2.4000000000000004</v>
      </c>
      <c r="C421" s="1076">
        <f t="shared" ref="C421" si="480">B421*$D$473</f>
        <v>1.8048000000000002</v>
      </c>
    </row>
    <row r="422" spans="2:3">
      <c r="B422" s="1077"/>
      <c r="C422" s="1077"/>
    </row>
    <row r="423" spans="2:3">
      <c r="B423" s="1076">
        <v>2.25</v>
      </c>
      <c r="C423" s="1076">
        <f t="shared" ref="C423" si="481">B423*$D$473</f>
        <v>1.6919999999999999</v>
      </c>
    </row>
    <row r="424" spans="2:3">
      <c r="B424" s="1077"/>
      <c r="C424" s="1077"/>
    </row>
    <row r="425" spans="2:3">
      <c r="B425" s="1076">
        <v>2.7</v>
      </c>
      <c r="C425" s="1076">
        <f t="shared" ref="C425" si="482">B425*$D$473</f>
        <v>2.0304000000000002</v>
      </c>
    </row>
    <row r="426" spans="2:3">
      <c r="B426" s="1077"/>
      <c r="C426" s="1077"/>
    </row>
    <row r="427" spans="2:3">
      <c r="B427" s="1076">
        <v>3</v>
      </c>
      <c r="C427" s="1076">
        <f t="shared" ref="C427" si="483">B427*$D$473</f>
        <v>2.2560000000000002</v>
      </c>
    </row>
    <row r="428" spans="2:3">
      <c r="B428" s="1077"/>
      <c r="C428" s="1077"/>
    </row>
    <row r="429" spans="2:3">
      <c r="B429" s="1076">
        <v>2.4000000000000004</v>
      </c>
      <c r="C429" s="1076">
        <f t="shared" ref="C429" si="484">B429*$D$473</f>
        <v>1.8048000000000002</v>
      </c>
    </row>
    <row r="430" spans="2:3">
      <c r="B430" s="1077"/>
      <c r="C430" s="1077"/>
    </row>
    <row r="431" spans="2:3">
      <c r="B431" s="1076">
        <v>2.1749999999999998</v>
      </c>
      <c r="C431" s="1076">
        <f t="shared" ref="C431" si="485">B431*$D$473</f>
        <v>1.6355999999999999</v>
      </c>
    </row>
    <row r="432" spans="2:3">
      <c r="B432" s="1077"/>
      <c r="C432" s="1077"/>
    </row>
    <row r="433" spans="2:3">
      <c r="B433" s="1076">
        <v>2.25</v>
      </c>
      <c r="C433" s="1076">
        <f t="shared" ref="C433" si="486">B433*$D$473</f>
        <v>1.6919999999999999</v>
      </c>
    </row>
    <row r="434" spans="2:3">
      <c r="B434" s="1077"/>
      <c r="C434" s="1077"/>
    </row>
    <row r="435" spans="2:3">
      <c r="B435" s="1076">
        <v>2.4000000000000004</v>
      </c>
      <c r="C435" s="1076">
        <f t="shared" ref="C435" si="487">B435*$D$473</f>
        <v>1.8048000000000002</v>
      </c>
    </row>
    <row r="436" spans="2:3">
      <c r="B436" s="1077"/>
      <c r="C436" s="1077"/>
    </row>
    <row r="437" spans="2:3">
      <c r="B437" s="1076">
        <v>2.25</v>
      </c>
      <c r="C437" s="1076">
        <f t="shared" ref="C437" si="488">B437*$D$473</f>
        <v>1.6919999999999999</v>
      </c>
    </row>
    <row r="438" spans="2:3">
      <c r="B438" s="1077"/>
      <c r="C438" s="1077"/>
    </row>
    <row r="439" spans="2:3">
      <c r="B439" s="1076">
        <v>2.7</v>
      </c>
      <c r="C439" s="1076">
        <f t="shared" ref="C439" si="489">B439*$D$473</f>
        <v>2.0304000000000002</v>
      </c>
    </row>
    <row r="440" spans="2:3">
      <c r="B440" s="1077"/>
      <c r="C440" s="1077"/>
    </row>
    <row r="441" spans="2:3">
      <c r="B441" s="1076">
        <v>3</v>
      </c>
      <c r="C441" s="1076">
        <f t="shared" ref="C441" si="490">B441*$D$473</f>
        <v>2.2560000000000002</v>
      </c>
    </row>
    <row r="442" spans="2:3">
      <c r="B442" s="1077"/>
      <c r="C442" s="1077"/>
    </row>
    <row r="443" spans="2:3">
      <c r="B443" s="1076">
        <v>2.25</v>
      </c>
      <c r="C443" s="1076">
        <f t="shared" ref="C443" si="491">B443*$D$473</f>
        <v>1.6919999999999999</v>
      </c>
    </row>
    <row r="444" spans="2:3">
      <c r="B444" s="1077"/>
      <c r="C444" s="1077"/>
    </row>
    <row r="445" spans="2:3">
      <c r="B445" s="1076">
        <v>2.4000000000000004</v>
      </c>
      <c r="C445" s="1076">
        <f t="shared" ref="C445" si="492">B445*$D$473</f>
        <v>1.8048000000000002</v>
      </c>
    </row>
    <row r="446" spans="2:3">
      <c r="B446" s="1077"/>
      <c r="C446" s="1077"/>
    </row>
    <row r="447" spans="2:3">
      <c r="B447" s="1076">
        <v>2.25</v>
      </c>
      <c r="C447" s="1076">
        <f t="shared" ref="C447" si="493">B447*$D$473</f>
        <v>1.6919999999999999</v>
      </c>
    </row>
    <row r="448" spans="2:3">
      <c r="B448" s="1077"/>
      <c r="C448" s="1077"/>
    </row>
    <row r="449" spans="2:3">
      <c r="B449" s="1076">
        <v>2.7</v>
      </c>
      <c r="C449" s="1076">
        <f t="shared" ref="C449" si="494">B449*$D$473</f>
        <v>2.0304000000000002</v>
      </c>
    </row>
    <row r="450" spans="2:3">
      <c r="B450" s="1077"/>
      <c r="C450" s="1077"/>
    </row>
    <row r="451" spans="2:3">
      <c r="B451" s="1076">
        <v>3</v>
      </c>
      <c r="C451" s="1076">
        <f t="shared" ref="C451" si="495">B451*$D$473</f>
        <v>2.2560000000000002</v>
      </c>
    </row>
    <row r="452" spans="2:3">
      <c r="B452" s="1077"/>
      <c r="C452" s="1077"/>
    </row>
    <row r="453" spans="2:3">
      <c r="B453" s="1076">
        <v>2.25</v>
      </c>
      <c r="C453" s="1076">
        <f t="shared" ref="C453" si="496">B453*$D$473</f>
        <v>1.6919999999999999</v>
      </c>
    </row>
    <row r="454" spans="2:3">
      <c r="B454" s="1077"/>
      <c r="C454" s="1077"/>
    </row>
    <row r="455" spans="2:3">
      <c r="B455" s="1076">
        <v>2.3250000000000002</v>
      </c>
      <c r="C455" s="1076">
        <f t="shared" ref="C455" si="497">B455*$D$473</f>
        <v>1.7484000000000002</v>
      </c>
    </row>
    <row r="456" spans="2:3">
      <c r="B456" s="1077"/>
      <c r="C456" s="1077"/>
    </row>
    <row r="457" spans="2:3">
      <c r="B457" s="1076">
        <v>2.625</v>
      </c>
      <c r="C457" s="1076">
        <f t="shared" ref="C457" si="498">B457*$D$473</f>
        <v>1.974</v>
      </c>
    </row>
    <row r="458" spans="2:3">
      <c r="B458" s="1077"/>
      <c r="C458" s="1077"/>
    </row>
    <row r="459" spans="2:3">
      <c r="B459" s="1076">
        <v>2.8499999999999996</v>
      </c>
      <c r="C459" s="1076">
        <f t="shared" ref="C459" si="499">B459*$D$473</f>
        <v>2.1431999999999998</v>
      </c>
    </row>
    <row r="460" spans="2:3">
      <c r="B460" s="1077"/>
      <c r="C460" s="1077"/>
    </row>
    <row r="461" spans="2:3">
      <c r="B461" s="1076">
        <v>2.25</v>
      </c>
      <c r="C461" s="1076">
        <f t="shared" ref="C461" si="500">B461*$D$473</f>
        <v>1.6919999999999999</v>
      </c>
    </row>
    <row r="462" spans="2:3">
      <c r="B462" s="1077"/>
      <c r="C462" s="1077"/>
    </row>
    <row r="463" spans="2:3">
      <c r="B463" s="1076">
        <v>2.4000000000000004</v>
      </c>
      <c r="C463" s="1076">
        <f t="shared" ref="C463" si="501">B463*$D$473</f>
        <v>1.8048000000000002</v>
      </c>
    </row>
    <row r="464" spans="2:3">
      <c r="B464" s="1077"/>
      <c r="C464" s="1077"/>
    </row>
    <row r="465" spans="2:5">
      <c r="B465" s="1076">
        <v>3.3000000000000003</v>
      </c>
      <c r="C465" s="1076">
        <f t="shared" ref="C465" si="502">B465*$D$473</f>
        <v>2.4816000000000003</v>
      </c>
    </row>
    <row r="466" spans="2:5">
      <c r="B466" s="1077"/>
      <c r="C466" s="1077"/>
    </row>
    <row r="467" spans="2:5">
      <c r="B467" s="1076">
        <v>2.7</v>
      </c>
      <c r="C467" s="1076">
        <f t="shared" ref="C467" si="503">B467*$D$473</f>
        <v>2.0304000000000002</v>
      </c>
    </row>
    <row r="468" spans="2:5">
      <c r="B468" s="1077"/>
      <c r="C468" s="1077"/>
    </row>
    <row r="469" spans="2:5">
      <c r="B469" s="1076">
        <v>2.25</v>
      </c>
      <c r="C469" s="1076">
        <f t="shared" ref="C469" si="504">B469*$D$473</f>
        <v>1.6919999999999999</v>
      </c>
    </row>
    <row r="470" spans="2:5">
      <c r="B470" s="1077"/>
      <c r="C470" s="1077"/>
    </row>
    <row r="471" spans="2:5">
      <c r="B471" s="1082">
        <v>2</v>
      </c>
      <c r="C471" s="1076">
        <f t="shared" ref="C471" si="505">B471*$D$473</f>
        <v>1.504</v>
      </c>
    </row>
    <row r="472" spans="2:5">
      <c r="B472" s="1083"/>
      <c r="C472" s="1077"/>
    </row>
    <row r="473" spans="2:5">
      <c r="C473" s="650">
        <f>SUM(C271:C472)</f>
        <v>188.07520000000002</v>
      </c>
      <c r="D473" s="877">
        <f>188/250</f>
        <v>0.752</v>
      </c>
      <c r="E473" s="877"/>
    </row>
  </sheetData>
  <mergeCells count="438">
    <mergeCell ref="A145:A146"/>
    <mergeCell ref="A147:A148"/>
    <mergeCell ref="A149:A150"/>
    <mergeCell ref="A151:A152"/>
    <mergeCell ref="A85:A86"/>
    <mergeCell ref="A87:A88"/>
    <mergeCell ref="A19:A20"/>
    <mergeCell ref="AK2:AK3"/>
    <mergeCell ref="AL2:AL3"/>
    <mergeCell ref="A123:A124"/>
    <mergeCell ref="A105:A106"/>
    <mergeCell ref="A139:A140"/>
    <mergeCell ref="A125:A126"/>
    <mergeCell ref="A127:A128"/>
    <mergeCell ref="A129:A130"/>
    <mergeCell ref="A131:A132"/>
    <mergeCell ref="A133:A134"/>
    <mergeCell ref="A135:A136"/>
    <mergeCell ref="A137:A138"/>
    <mergeCell ref="A121:A122"/>
    <mergeCell ref="A89:A90"/>
    <mergeCell ref="A101:A102"/>
    <mergeCell ref="A91:A92"/>
    <mergeCell ref="D2:D3"/>
    <mergeCell ref="AV1:BQ1"/>
    <mergeCell ref="A1:AU1"/>
    <mergeCell ref="T4:AL4"/>
    <mergeCell ref="A141:A142"/>
    <mergeCell ref="A143:A144"/>
    <mergeCell ref="A153:A154"/>
    <mergeCell ref="A155:A156"/>
    <mergeCell ref="A157:A158"/>
    <mergeCell ref="A159:A160"/>
    <mergeCell ref="H2:I3"/>
    <mergeCell ref="N2:N3"/>
    <mergeCell ref="Q2:Q3"/>
    <mergeCell ref="K2:K3"/>
    <mergeCell ref="J2:J3"/>
    <mergeCell ref="L2:L3"/>
    <mergeCell ref="M2:M3"/>
    <mergeCell ref="H4:I4"/>
    <mergeCell ref="A11:A12"/>
    <mergeCell ref="A9:A10"/>
    <mergeCell ref="G2:G3"/>
    <mergeCell ref="F2:F3"/>
    <mergeCell ref="C2:C3"/>
    <mergeCell ref="A2:A3"/>
    <mergeCell ref="B2:B3"/>
    <mergeCell ref="A177:A178"/>
    <mergeCell ref="A169:A170"/>
    <mergeCell ref="A171:A172"/>
    <mergeCell ref="A173:A174"/>
    <mergeCell ref="A175:A176"/>
    <mergeCell ref="A161:A162"/>
    <mergeCell ref="A163:A164"/>
    <mergeCell ref="A165:A166"/>
    <mergeCell ref="A167:A168"/>
    <mergeCell ref="AV2:BD2"/>
    <mergeCell ref="BF2:BK2"/>
    <mergeCell ref="O2:O3"/>
    <mergeCell ref="S5:S6"/>
    <mergeCell ref="S7:S8"/>
    <mergeCell ref="S9:S10"/>
    <mergeCell ref="AT2:AT3"/>
    <mergeCell ref="AU2:AU3"/>
    <mergeCell ref="R2:R3"/>
    <mergeCell ref="P2:P3"/>
    <mergeCell ref="AI2:AI3"/>
    <mergeCell ref="T2:Z2"/>
    <mergeCell ref="AA2:AG2"/>
    <mergeCell ref="S2:S3"/>
    <mergeCell ref="AH2:AH3"/>
    <mergeCell ref="O4:Q4"/>
    <mergeCell ref="AM2:AS2"/>
    <mergeCell ref="AJ2:AJ3"/>
    <mergeCell ref="S11:S12"/>
    <mergeCell ref="S13:S14"/>
    <mergeCell ref="S15:S16"/>
    <mergeCell ref="S21:S22"/>
    <mergeCell ref="S23:S24"/>
    <mergeCell ref="A29:A30"/>
    <mergeCell ref="A31:A32"/>
    <mergeCell ref="A43:A44"/>
    <mergeCell ref="A23:A24"/>
    <mergeCell ref="A27:A28"/>
    <mergeCell ref="A25:A26"/>
    <mergeCell ref="A33:A34"/>
    <mergeCell ref="A17:A18"/>
    <mergeCell ref="A39:A40"/>
    <mergeCell ref="A41:A42"/>
    <mergeCell ref="S17:S18"/>
    <mergeCell ref="S31:S32"/>
    <mergeCell ref="S33:S34"/>
    <mergeCell ref="S27:S28"/>
    <mergeCell ref="S29:S30"/>
    <mergeCell ref="S35:S36"/>
    <mergeCell ref="S37:S38"/>
    <mergeCell ref="S41:S42"/>
    <mergeCell ref="S43:S44"/>
    <mergeCell ref="A5:A6"/>
    <mergeCell ref="A13:A14"/>
    <mergeCell ref="A15:A16"/>
    <mergeCell ref="A49:A50"/>
    <mergeCell ref="A51:A52"/>
    <mergeCell ref="A79:A80"/>
    <mergeCell ref="A69:A70"/>
    <mergeCell ref="A21:A22"/>
    <mergeCell ref="A7:A8"/>
    <mergeCell ref="A45:A46"/>
    <mergeCell ref="A75:A76"/>
    <mergeCell ref="A77:A78"/>
    <mergeCell ref="A65:A66"/>
    <mergeCell ref="A67:A68"/>
    <mergeCell ref="A53:A54"/>
    <mergeCell ref="A55:A56"/>
    <mergeCell ref="A57:A58"/>
    <mergeCell ref="A59:A60"/>
    <mergeCell ref="A61:A62"/>
    <mergeCell ref="A63:A64"/>
    <mergeCell ref="A35:A36"/>
    <mergeCell ref="A37:A38"/>
    <mergeCell ref="A71:A72"/>
    <mergeCell ref="A73:A74"/>
    <mergeCell ref="A197:A198"/>
    <mergeCell ref="A191:A192"/>
    <mergeCell ref="A193:A194"/>
    <mergeCell ref="A199:A200"/>
    <mergeCell ref="A201:A202"/>
    <mergeCell ref="A203:A204"/>
    <mergeCell ref="A179:A180"/>
    <mergeCell ref="A181:A182"/>
    <mergeCell ref="A183:A184"/>
    <mergeCell ref="A185:A186"/>
    <mergeCell ref="A187:A188"/>
    <mergeCell ref="A189:A190"/>
    <mergeCell ref="A195:A196"/>
    <mergeCell ref="A111:A112"/>
    <mergeCell ref="A113:A114"/>
    <mergeCell ref="A115:A116"/>
    <mergeCell ref="A117:A118"/>
    <mergeCell ref="A119:A120"/>
    <mergeCell ref="A83:A84"/>
    <mergeCell ref="A97:A98"/>
    <mergeCell ref="A99:A100"/>
    <mergeCell ref="A103:A104"/>
    <mergeCell ref="A107:A108"/>
    <mergeCell ref="A109:A110"/>
    <mergeCell ref="S19:S20"/>
    <mergeCell ref="S39:S40"/>
    <mergeCell ref="S45:S46"/>
    <mergeCell ref="S47:S48"/>
    <mergeCell ref="S49:S50"/>
    <mergeCell ref="S51:S52"/>
    <mergeCell ref="S53:S54"/>
    <mergeCell ref="S55:S56"/>
    <mergeCell ref="S25:S26"/>
    <mergeCell ref="S93:S94"/>
    <mergeCell ref="S95:S96"/>
    <mergeCell ref="A93:A94"/>
    <mergeCell ref="A95:A96"/>
    <mergeCell ref="A81:A82"/>
    <mergeCell ref="S57:S58"/>
    <mergeCell ref="S59:S60"/>
    <mergeCell ref="S61:S62"/>
    <mergeCell ref="A47:A48"/>
    <mergeCell ref="S65:S66"/>
    <mergeCell ref="S97:S98"/>
    <mergeCell ref="S99:S100"/>
    <mergeCell ref="S101:S102"/>
    <mergeCell ref="S103:S104"/>
    <mergeCell ref="S105:S106"/>
    <mergeCell ref="S63:S64"/>
    <mergeCell ref="S133:S134"/>
    <mergeCell ref="S139:S140"/>
    <mergeCell ref="S107:S108"/>
    <mergeCell ref="S109:S110"/>
    <mergeCell ref="S111:S112"/>
    <mergeCell ref="S67:S68"/>
    <mergeCell ref="S69:S70"/>
    <mergeCell ref="S71:S72"/>
    <mergeCell ref="S73:S74"/>
    <mergeCell ref="S75:S76"/>
    <mergeCell ref="S77:S78"/>
    <mergeCell ref="S85:S86"/>
    <mergeCell ref="S87:S88"/>
    <mergeCell ref="S89:S90"/>
    <mergeCell ref="S79:S80"/>
    <mergeCell ref="S81:S82"/>
    <mergeCell ref="S83:S84"/>
    <mergeCell ref="S91:S92"/>
    <mergeCell ref="S195:S196"/>
    <mergeCell ref="S197:S198"/>
    <mergeCell ref="S113:S114"/>
    <mergeCell ref="S115:S116"/>
    <mergeCell ref="S117:S118"/>
    <mergeCell ref="S163:S164"/>
    <mergeCell ref="S173:S174"/>
    <mergeCell ref="S165:S166"/>
    <mergeCell ref="S167:S168"/>
    <mergeCell ref="S169:S170"/>
    <mergeCell ref="S171:S172"/>
    <mergeCell ref="S119:S120"/>
    <mergeCell ref="S121:S122"/>
    <mergeCell ref="S123:S124"/>
    <mergeCell ref="S125:S126"/>
    <mergeCell ref="S127:S128"/>
    <mergeCell ref="S129:S130"/>
    <mergeCell ref="S131:S132"/>
    <mergeCell ref="S135:S136"/>
    <mergeCell ref="S137:S138"/>
    <mergeCell ref="S155:S156"/>
    <mergeCell ref="S157:S158"/>
    <mergeCell ref="S159:S160"/>
    <mergeCell ref="S161:S162"/>
    <mergeCell ref="S141:S142"/>
    <mergeCell ref="S143:S144"/>
    <mergeCell ref="S145:S146"/>
    <mergeCell ref="S147:S148"/>
    <mergeCell ref="S149:S150"/>
    <mergeCell ref="S151:S152"/>
    <mergeCell ref="S153:S154"/>
    <mergeCell ref="B271:B272"/>
    <mergeCell ref="B273:B274"/>
    <mergeCell ref="C271:C272"/>
    <mergeCell ref="C273:C274"/>
    <mergeCell ref="S177:S178"/>
    <mergeCell ref="S175:S176"/>
    <mergeCell ref="S179:S180"/>
    <mergeCell ref="S199:S200"/>
    <mergeCell ref="S201:S202"/>
    <mergeCell ref="S203:S204"/>
    <mergeCell ref="S181:S182"/>
    <mergeCell ref="S183:S184"/>
    <mergeCell ref="S185:S186"/>
    <mergeCell ref="S187:S188"/>
    <mergeCell ref="S189:S190"/>
    <mergeCell ref="S191:S192"/>
    <mergeCell ref="S193:S194"/>
    <mergeCell ref="B275:B276"/>
    <mergeCell ref="B277:B278"/>
    <mergeCell ref="B279:B280"/>
    <mergeCell ref="B281:B282"/>
    <mergeCell ref="B283:B284"/>
    <mergeCell ref="B285:B286"/>
    <mergeCell ref="B287:B288"/>
    <mergeCell ref="B289:B290"/>
    <mergeCell ref="B291:B292"/>
    <mergeCell ref="B293:B294"/>
    <mergeCell ref="B295:B296"/>
    <mergeCell ref="B297:B298"/>
    <mergeCell ref="B299:B300"/>
    <mergeCell ref="B301:B302"/>
    <mergeCell ref="B303:B304"/>
    <mergeCell ref="B305:B306"/>
    <mergeCell ref="B307:B308"/>
    <mergeCell ref="B309:B310"/>
    <mergeCell ref="B311:B312"/>
    <mergeCell ref="B313:B314"/>
    <mergeCell ref="B315:B316"/>
    <mergeCell ref="B317:B318"/>
    <mergeCell ref="B319:B320"/>
    <mergeCell ref="B321:B322"/>
    <mergeCell ref="B323:B324"/>
    <mergeCell ref="B325:B326"/>
    <mergeCell ref="B327:B328"/>
    <mergeCell ref="B329:B330"/>
    <mergeCell ref="B331:B332"/>
    <mergeCell ref="B333:B334"/>
    <mergeCell ref="B335:B336"/>
    <mergeCell ref="B337:B338"/>
    <mergeCell ref="B339:B340"/>
    <mergeCell ref="B341:B342"/>
    <mergeCell ref="B343:B344"/>
    <mergeCell ref="B345:B346"/>
    <mergeCell ref="B347:B348"/>
    <mergeCell ref="B349:B350"/>
    <mergeCell ref="B351:B352"/>
    <mergeCell ref="B353:B354"/>
    <mergeCell ref="B355:B356"/>
    <mergeCell ref="B357:B358"/>
    <mergeCell ref="B359:B360"/>
    <mergeCell ref="B361:B362"/>
    <mergeCell ref="B363:B364"/>
    <mergeCell ref="B365:B366"/>
    <mergeCell ref="B367:B368"/>
    <mergeCell ref="B369:B370"/>
    <mergeCell ref="B371:B372"/>
    <mergeCell ref="B373:B374"/>
    <mergeCell ref="B375:B376"/>
    <mergeCell ref="B377:B378"/>
    <mergeCell ref="B379:B380"/>
    <mergeCell ref="B381:B382"/>
    <mergeCell ref="B383:B384"/>
    <mergeCell ref="B385:B386"/>
    <mergeCell ref="B387:B388"/>
    <mergeCell ref="B389:B390"/>
    <mergeCell ref="B391:B392"/>
    <mergeCell ref="B393:B394"/>
    <mergeCell ref="B395:B396"/>
    <mergeCell ref="B397:B398"/>
    <mergeCell ref="B399:B400"/>
    <mergeCell ref="B401:B402"/>
    <mergeCell ref="B403:B404"/>
    <mergeCell ref="B405:B406"/>
    <mergeCell ref="B407:B408"/>
    <mergeCell ref="B409:B410"/>
    <mergeCell ref="B411:B412"/>
    <mergeCell ref="B413:B414"/>
    <mergeCell ref="B415:B416"/>
    <mergeCell ref="B417:B418"/>
    <mergeCell ref="B419:B420"/>
    <mergeCell ref="B421:B422"/>
    <mergeCell ref="B423:B424"/>
    <mergeCell ref="B425:B426"/>
    <mergeCell ref="B427:B428"/>
    <mergeCell ref="B429:B430"/>
    <mergeCell ref="B431:B432"/>
    <mergeCell ref="B433:B434"/>
    <mergeCell ref="B435:B436"/>
    <mergeCell ref="B437:B438"/>
    <mergeCell ref="B439:B440"/>
    <mergeCell ref="B441:B442"/>
    <mergeCell ref="B443:B444"/>
    <mergeCell ref="B445:B446"/>
    <mergeCell ref="B447:B448"/>
    <mergeCell ref="B449:B450"/>
    <mergeCell ref="B451:B452"/>
    <mergeCell ref="B453:B454"/>
    <mergeCell ref="B455:B456"/>
    <mergeCell ref="B457:B458"/>
    <mergeCell ref="B459:B460"/>
    <mergeCell ref="B461:B462"/>
    <mergeCell ref="B463:B464"/>
    <mergeCell ref="B465:B466"/>
    <mergeCell ref="B467:B468"/>
    <mergeCell ref="B469:B470"/>
    <mergeCell ref="B471:B472"/>
    <mergeCell ref="C275:C276"/>
    <mergeCell ref="C277:C278"/>
    <mergeCell ref="C279:C280"/>
    <mergeCell ref="C281:C282"/>
    <mergeCell ref="C283:C284"/>
    <mergeCell ref="C285:C286"/>
    <mergeCell ref="C287:C288"/>
    <mergeCell ref="C289:C290"/>
    <mergeCell ref="C291:C292"/>
    <mergeCell ref="C293:C294"/>
    <mergeCell ref="C295:C296"/>
    <mergeCell ref="C297:C298"/>
    <mergeCell ref="C299:C300"/>
    <mergeCell ref="C301:C302"/>
    <mergeCell ref="C303:C304"/>
    <mergeCell ref="C305:C306"/>
    <mergeCell ref="C307:C308"/>
    <mergeCell ref="C309:C310"/>
    <mergeCell ref="C311:C312"/>
    <mergeCell ref="C313:C314"/>
    <mergeCell ref="C315:C316"/>
    <mergeCell ref="C317:C318"/>
    <mergeCell ref="C319:C320"/>
    <mergeCell ref="C321:C322"/>
    <mergeCell ref="C323:C324"/>
    <mergeCell ref="C325:C326"/>
    <mergeCell ref="C327:C328"/>
    <mergeCell ref="C329:C330"/>
    <mergeCell ref="C331:C332"/>
    <mergeCell ref="C333:C334"/>
    <mergeCell ref="C335:C336"/>
    <mergeCell ref="C337:C338"/>
    <mergeCell ref="C339:C340"/>
    <mergeCell ref="C341:C342"/>
    <mergeCell ref="C343:C344"/>
    <mergeCell ref="C345:C346"/>
    <mergeCell ref="C347:C348"/>
    <mergeCell ref="C349:C350"/>
    <mergeCell ref="C351:C352"/>
    <mergeCell ref="C353:C354"/>
    <mergeCell ref="C355:C356"/>
    <mergeCell ref="C357:C358"/>
    <mergeCell ref="C359:C360"/>
    <mergeCell ref="C361:C362"/>
    <mergeCell ref="C363:C364"/>
    <mergeCell ref="C365:C366"/>
    <mergeCell ref="C367:C368"/>
    <mergeCell ref="C369:C370"/>
    <mergeCell ref="C371:C372"/>
    <mergeCell ref="C373:C374"/>
    <mergeCell ref="C375:C376"/>
    <mergeCell ref="C377:C378"/>
    <mergeCell ref="C379:C380"/>
    <mergeCell ref="C381:C382"/>
    <mergeCell ref="C383:C384"/>
    <mergeCell ref="C385:C386"/>
    <mergeCell ref="C387:C388"/>
    <mergeCell ref="C389:C390"/>
    <mergeCell ref="C391:C392"/>
    <mergeCell ref="C393:C394"/>
    <mergeCell ref="C395:C396"/>
    <mergeCell ref="C397:C398"/>
    <mergeCell ref="C399:C400"/>
    <mergeCell ref="C401:C402"/>
    <mergeCell ref="C403:C404"/>
    <mergeCell ref="C435:C436"/>
    <mergeCell ref="C437:C438"/>
    <mergeCell ref="C439:C440"/>
    <mergeCell ref="C405:C406"/>
    <mergeCell ref="C407:C408"/>
    <mergeCell ref="C409:C410"/>
    <mergeCell ref="C411:C412"/>
    <mergeCell ref="C413:C414"/>
    <mergeCell ref="C415:C416"/>
    <mergeCell ref="C417:C418"/>
    <mergeCell ref="C419:C420"/>
    <mergeCell ref="C421:C422"/>
    <mergeCell ref="C459:C460"/>
    <mergeCell ref="C461:C462"/>
    <mergeCell ref="C463:C464"/>
    <mergeCell ref="C465:C466"/>
    <mergeCell ref="C467:C468"/>
    <mergeCell ref="C469:C470"/>
    <mergeCell ref="C471:C472"/>
    <mergeCell ref="E2:E3"/>
    <mergeCell ref="R206:R208"/>
    <mergeCell ref="C441:C442"/>
    <mergeCell ref="C443:C444"/>
    <mergeCell ref="C445:C446"/>
    <mergeCell ref="C447:C448"/>
    <mergeCell ref="C449:C450"/>
    <mergeCell ref="C451:C452"/>
    <mergeCell ref="C453:C454"/>
    <mergeCell ref="C455:C456"/>
    <mergeCell ref="C457:C458"/>
    <mergeCell ref="C423:C424"/>
    <mergeCell ref="C425:C426"/>
    <mergeCell ref="C427:C428"/>
    <mergeCell ref="C429:C430"/>
    <mergeCell ref="C431:C432"/>
    <mergeCell ref="C433:C434"/>
  </mergeCells>
  <dataValidations count="1">
    <dataValidation type="list" allowBlank="1" showInputMessage="1" showErrorMessage="1" sqref="AU211" xr:uid="{00000000-0002-0000-0800-000000000000}">
      <formula1>#REF!</formula1>
    </dataValidation>
  </dataValidations>
  <pageMargins left="0.7" right="0.7" top="0.75" bottom="0.75" header="0.3" footer="0.3"/>
  <pageSetup paperSize="9" scale="86"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800-000001000000}">
          <x14:formula1>
            <xm:f>'Założenia,wskaźniki, listy'!$A$4:$A$10</xm:f>
          </x14:formula1>
          <xm:sqref>A229 A220 A240 N5:N204 L5:L204</xm:sqref>
        </x14:dataValidation>
        <x14:dataValidation type="list" allowBlank="1" showInputMessage="1" showErrorMessage="1" xr:uid="{00000000-0002-0000-0800-000002000000}">
          <x14:formula1>
            <xm:f>'\\PIGSINSPACE\Sucha Beskidzka\Sucha Beskidzka\BAZA\!!!!!!!POPRAWA\!!!!!!!POPRAWA\[1.BAZA DANYCH Gmina Sucha Beskidzka.xlsx]Założenia,wskaźniki, listy'!#REF!</xm:f>
          </x14:formula1>
          <xm:sqref>A224:A225 A228 A235:A236 A239</xm:sqref>
        </x14:dataValidation>
        <x14:dataValidation type="list" allowBlank="1" showInputMessage="1" showErrorMessage="1" xr:uid="{00000000-0002-0000-0800-000003000000}">
          <x14:formula1>
            <xm:f>'Założenia,wskaźniki, listy'!$A$15:$A$17</xm:f>
          </x14:formula1>
          <xm:sqref>K5:K11 K13:K27 K29 K31 K33 K35 K37 K45 K41 K43 K39 K49:K55 K47 K75 K57:K73 K79 K81 K89 K85 K87 K83 K77 K91 K93:K99 K179 K117 K119 K121 K123 K125 K133 K129 K131 K127 K137:K143 K135 K163 K145:K161 K167 K169 K177 K173 K175 K171 K165 K101:K115 K181:K185 K187:K203</xm:sqref>
        </x14:dataValidation>
        <x14:dataValidation type="list" allowBlank="1" showInputMessage="1" showErrorMessage="1" xr:uid="{00000000-0002-0000-0800-000004000000}">
          <x14:formula1>
            <xm:f>'Założenia,wskaźniki, listy'!$N$9:$N$16</xm:f>
          </x14:formula1>
          <xm:sqref>AU5:AU204</xm:sqref>
        </x14:dataValidation>
        <x14:dataValidation type="list" allowBlank="1" showInputMessage="1" showErrorMessage="1" xr:uid="{00000000-0002-0000-0800-000005000000}">
          <x14:formula1>
            <xm:f>'Założenia,wskaźniki, listy'!$O$14:$O$15</xm:f>
          </x14:formula1>
          <xm:sqref>AT5:AT204</xm:sqref>
        </x14:dataValidation>
        <x14:dataValidation type="list" allowBlank="1" showInputMessage="1" showErrorMessage="1" xr:uid="{00000000-0002-0000-0800-000006000000}">
          <x14:formula1>
            <xm:f>'Założenia,wskaźniki, listy'!$N$27:$N$29</xm:f>
          </x14:formula1>
          <xm:sqref>B5:B204</xm:sqref>
        </x14:dataValidation>
        <x14:dataValidation type="list" allowBlank="1" showInputMessage="1" showErrorMessage="1" xr:uid="{00000000-0002-0000-0800-000007000000}">
          <x14:formula1>
            <xm:f>'Założenia,wskaźniki, listy'!$F$13:$F$15</xm:f>
          </x14:formula1>
          <xm:sqref>K12 K28 K30 K32 K34 K36 K40 K38 K44 K42 K86 K78 K56 K48 K74 K76 K46 K80 K84 K82 K88 K90 K92 K178 K100 K116 K118 K120 K122 K124 K128 K126 K132 K130 K174 K166 K144 K136 K162 K164 K134 K168 K172 K170 K176 K180 K186 K204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25</vt:i4>
      </vt:variant>
      <vt:variant>
        <vt:lpstr>Nazwane zakresy</vt:lpstr>
      </vt:variant>
      <vt:variant>
        <vt:i4>17</vt:i4>
      </vt:variant>
    </vt:vector>
  </HeadingPairs>
  <TitlesOfParts>
    <vt:vector size="42" baseType="lpstr">
      <vt:lpstr>emisja</vt:lpstr>
      <vt:lpstr>Z</vt:lpstr>
      <vt:lpstr>Założenia,wskaźniki, listy</vt:lpstr>
      <vt:lpstr>Budynki komunalne - baza </vt:lpstr>
      <vt:lpstr>Budynki komunalne - emisja</vt:lpstr>
      <vt:lpstr>Mieszk. wielorodz. - baza</vt:lpstr>
      <vt:lpstr>Mieszk. wielorodz. - emisja</vt:lpstr>
      <vt:lpstr>Oświetlenie uliczne</vt:lpstr>
      <vt:lpstr>Mieszkalne - baza</vt:lpstr>
      <vt:lpstr>Mieszkalne - emisja</vt:lpstr>
      <vt:lpstr>Przedsiębiorcy, przemysł</vt:lpstr>
      <vt:lpstr>Przemy</vt:lpstr>
      <vt:lpstr>Budynki usł.-użytk. - emisja</vt:lpstr>
      <vt:lpstr>Przemysł, pozostałe - emisja</vt:lpstr>
      <vt:lpstr>Arkusz2</vt:lpstr>
      <vt:lpstr>Transport - emisja</vt:lpstr>
      <vt:lpstr>Energia łącznie</vt:lpstr>
      <vt:lpstr>Struktura paliw łącznie</vt:lpstr>
      <vt:lpstr>Łączna emisja</vt:lpstr>
      <vt:lpstr>Efekt ekologiczny 2020</vt:lpstr>
      <vt:lpstr>Efekt ekologiczny 2023</vt:lpstr>
      <vt:lpstr>DZIAŁANIA 2021-2023</vt:lpstr>
      <vt:lpstr>Prezentacja wyników - MWh</vt:lpstr>
      <vt:lpstr>Prezentacja wyników - CO2</vt:lpstr>
      <vt:lpstr>Arkusz1</vt:lpstr>
      <vt:lpstr>'Budynki komunalne - baza '!Obszar_wydruku</vt:lpstr>
      <vt:lpstr>'Budynki usł.-użytk. - emisja'!Obszar_wydruku</vt:lpstr>
      <vt:lpstr>'Efekt ekologiczny 2020'!Obszar_wydruku</vt:lpstr>
      <vt:lpstr>'Energia łącznie'!Obszar_wydruku</vt:lpstr>
      <vt:lpstr>'Łączna emisja'!Obszar_wydruku</vt:lpstr>
      <vt:lpstr>'Mieszk. wielorodz. - baza'!Obszar_wydruku</vt:lpstr>
      <vt:lpstr>'Mieszk. wielorodz. - emisja'!Obszar_wydruku</vt:lpstr>
      <vt:lpstr>'Mieszkalne - baza'!Obszar_wydruku</vt:lpstr>
      <vt:lpstr>'Mieszkalne - emisja'!Obszar_wydruku</vt:lpstr>
      <vt:lpstr>'Oświetlenie uliczne'!Obszar_wydruku</vt:lpstr>
      <vt:lpstr>'Prezentacja wyników - CO2'!Obszar_wydruku</vt:lpstr>
      <vt:lpstr>'Prezentacja wyników - MWh'!Obszar_wydruku</vt:lpstr>
      <vt:lpstr>Przemy!Obszar_wydruku</vt:lpstr>
      <vt:lpstr>'Przemysł, pozostałe - emisja'!Obszar_wydruku</vt:lpstr>
      <vt:lpstr>'Struktura paliw łącznie'!Obszar_wydruku</vt:lpstr>
      <vt:lpstr>'Transport - emisja'!Obszar_wydruku</vt:lpstr>
      <vt:lpstr>'Założenia,wskaźniki, listy'!Obszar_wydruku</vt:lpstr>
    </vt:vector>
  </TitlesOfParts>
  <Company>NFOŚiGW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PBartosz</dc:creator>
  <cp:lastModifiedBy>Monika</cp:lastModifiedBy>
  <cp:lastPrinted>2017-03-02T11:46:50Z</cp:lastPrinted>
  <dcterms:created xsi:type="dcterms:W3CDTF">2014-03-11T11:11:41Z</dcterms:created>
  <dcterms:modified xsi:type="dcterms:W3CDTF">2021-03-09T15:13:16Z</dcterms:modified>
</cp:coreProperties>
</file>